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apital_Finance_and_Planning\Forms_Guide\2-16 2-17\"/>
    </mc:Choice>
  </mc:AlternateContent>
  <xr:revisionPtr revIDLastSave="0" documentId="8_{700F57F1-3578-48D6-A1DE-73CC2BF12246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Project Info" sheetId="6" r:id="rId1"/>
    <sheet name="Request #1" sheetId="4" r:id="rId2"/>
    <sheet name="Request #2" sheetId="5" r:id="rId3"/>
    <sheet name="Request #3" sheetId="7" r:id="rId4"/>
    <sheet name="Request #4" sheetId="8" r:id="rId5"/>
    <sheet name="Request #5" sheetId="9" r:id="rId6"/>
    <sheet name="Request #6" sheetId="10" r:id="rId7"/>
    <sheet name="Request #7" sheetId="11" r:id="rId8"/>
    <sheet name="Request #8" sheetId="12" r:id="rId9"/>
    <sheet name="Request #9" sheetId="13" r:id="rId10"/>
    <sheet name="Request #10" sheetId="14" r:id="rId11"/>
    <sheet name="Request #11" sheetId="15" r:id="rId12"/>
    <sheet name="Request #12" sheetId="16" r:id="rId13"/>
    <sheet name="Request #13" sheetId="17" r:id="rId14"/>
    <sheet name="Request #14" sheetId="18" r:id="rId15"/>
    <sheet name="Request #15" sheetId="19" r:id="rId16"/>
    <sheet name="Request #16" sheetId="20" r:id="rId17"/>
    <sheet name="Request #17" sheetId="21" r:id="rId18"/>
    <sheet name="Request #18" sheetId="22" r:id="rId19"/>
    <sheet name="Request #19" sheetId="23" r:id="rId20"/>
    <sheet name="Request #20" sheetId="24" r:id="rId21"/>
    <sheet name="Request #21" sheetId="25" r:id="rId22"/>
    <sheet name="Request #22" sheetId="26" r:id="rId23"/>
    <sheet name="Request #23" sheetId="27" r:id="rId24"/>
    <sheet name="Request #24" sheetId="28" r:id="rId25"/>
    <sheet name="Request #25" sheetId="29" r:id="rId26"/>
    <sheet name="Request #26" sheetId="30" r:id="rId27"/>
    <sheet name="Request #27" sheetId="31" r:id="rId28"/>
    <sheet name="Request #28" sheetId="32" r:id="rId29"/>
    <sheet name="Request #29" sheetId="33" r:id="rId30"/>
    <sheet name="Request #30" sheetId="34" r:id="rId31"/>
    <sheet name="Request #31" sheetId="35" r:id="rId32"/>
    <sheet name="Request #32" sheetId="36" r:id="rId33"/>
    <sheet name="Request #33" sheetId="37" r:id="rId34"/>
    <sheet name="Request #34" sheetId="38" r:id="rId35"/>
    <sheet name="Request #35" sheetId="39" r:id="rId36"/>
    <sheet name="Request #36" sheetId="40" r:id="rId37"/>
    <sheet name="Request #37" sheetId="46" r:id="rId38"/>
    <sheet name="Request #38" sheetId="47" r:id="rId39"/>
    <sheet name="Request #39" sheetId="48" r:id="rId40"/>
    <sheet name="Request #40" sheetId="49" r:id="rId41"/>
    <sheet name="Request #41" sheetId="50" r:id="rId42"/>
    <sheet name="Request #42" sheetId="51" r:id="rId43"/>
    <sheet name="Request #43" sheetId="52" r:id="rId44"/>
    <sheet name="Request #44" sheetId="53" r:id="rId45"/>
    <sheet name="Request #45" sheetId="54" r:id="rId46"/>
    <sheet name="Request #46" sheetId="55" r:id="rId47"/>
    <sheet name="Request #47" sheetId="56" r:id="rId48"/>
    <sheet name="Request #48" sheetId="57" r:id="rId49"/>
  </sheets>
  <definedNames>
    <definedName name="_xlnm.Print_Area" localSheetId="0">'Project Info'!$A$1:$G$48</definedName>
    <definedName name="_xlnm.Print_Area" localSheetId="1">'Request #1'!$A$1:$AH$90</definedName>
    <definedName name="_xlnm.Print_Area" localSheetId="10">'Request #10'!$A$1:$AG$89</definedName>
    <definedName name="_xlnm.Print_Area" localSheetId="11">'Request #11'!$A$1:$AG$90</definedName>
    <definedName name="_xlnm.Print_Area" localSheetId="12">'Request #12'!$A$1:$AG$90</definedName>
    <definedName name="_xlnm.Print_Area" localSheetId="13">'Request #13'!$A$1:$AG$90</definedName>
    <definedName name="_xlnm.Print_Area" localSheetId="14">'Request #14'!$A$1:$AG$89</definedName>
    <definedName name="_xlnm.Print_Area" localSheetId="15">'Request #15'!$A$1:$AG$89</definedName>
    <definedName name="_xlnm.Print_Area" localSheetId="16">'Request #16'!$A$1:$AG$89</definedName>
    <definedName name="_xlnm.Print_Area" localSheetId="17">'Request #17'!$A$1:$AG$89</definedName>
    <definedName name="_xlnm.Print_Area" localSheetId="18">'Request #18'!$A$1:$AG$89</definedName>
    <definedName name="_xlnm.Print_Area" localSheetId="19">'Request #19'!$A$1:$AG$89</definedName>
    <definedName name="_xlnm.Print_Area" localSheetId="2">'Request #2'!$A$1:$AG$89</definedName>
    <definedName name="_xlnm.Print_Area" localSheetId="20">'Request #20'!$A$1:$AG$89</definedName>
    <definedName name="_xlnm.Print_Area" localSheetId="21">'Request #21'!$A$1:$AG$89</definedName>
    <definedName name="_xlnm.Print_Area" localSheetId="22">'Request #22'!$A$1:$AG$89</definedName>
    <definedName name="_xlnm.Print_Area" localSheetId="23">'Request #23'!$A$1:$AG$89</definedName>
    <definedName name="_xlnm.Print_Area" localSheetId="24">'Request #24'!$A$1:$AG$89</definedName>
    <definedName name="_xlnm.Print_Area" localSheetId="25">'Request #25'!$A$1:$AG$89</definedName>
    <definedName name="_xlnm.Print_Area" localSheetId="26">'Request #26'!$A$1:$AG$89</definedName>
    <definedName name="_xlnm.Print_Area" localSheetId="27">'Request #27'!$A$1:$AG$89</definedName>
    <definedName name="_xlnm.Print_Area" localSheetId="28">'Request #28'!$A$1:$AG$89</definedName>
    <definedName name="_xlnm.Print_Area" localSheetId="29">'Request #29'!$A$1:$AG$89</definedName>
    <definedName name="_xlnm.Print_Area" localSheetId="3">'Request #3'!$A$1:$AG$89</definedName>
    <definedName name="_xlnm.Print_Area" localSheetId="30">'Request #30'!$A$1:$AG$89</definedName>
    <definedName name="_xlnm.Print_Area" localSheetId="31">'Request #31'!$A$1:$AG$89</definedName>
    <definedName name="_xlnm.Print_Area" localSheetId="32">'Request #32'!$A$1:$AG$89</definedName>
    <definedName name="_xlnm.Print_Area" localSheetId="33">'Request #33'!$A$1:$AG$89</definedName>
    <definedName name="_xlnm.Print_Area" localSheetId="34">'Request #34'!$A$1:$AG$89</definedName>
    <definedName name="_xlnm.Print_Area" localSheetId="35">'Request #35'!$A$1:$AG$89</definedName>
    <definedName name="_xlnm.Print_Area" localSheetId="36">'Request #36'!$A$1:$AG$89</definedName>
    <definedName name="_xlnm.Print_Area" localSheetId="37">'Request #37'!$A$1:$AG$89</definedName>
    <definedName name="_xlnm.Print_Area" localSheetId="38">'Request #38'!$A$1:$AG$89</definedName>
    <definedName name="_xlnm.Print_Area" localSheetId="39">'Request #39'!$A$1:$AG$89</definedName>
    <definedName name="_xlnm.Print_Area" localSheetId="4">'Request #4'!$A$1:$AG$89</definedName>
    <definedName name="_xlnm.Print_Area" localSheetId="40">'Request #40'!$A$1:$AG$89</definedName>
    <definedName name="_xlnm.Print_Area" localSheetId="41">'Request #41'!$A$1:$AG$89</definedName>
    <definedName name="_xlnm.Print_Area" localSheetId="42">'Request #42'!$A$1:$AG$89</definedName>
    <definedName name="_xlnm.Print_Area" localSheetId="43">'Request #43'!$A$1:$AG$89</definedName>
    <definedName name="_xlnm.Print_Area" localSheetId="44">'Request #44'!$A$1:$AG$89</definedName>
    <definedName name="_xlnm.Print_Area" localSheetId="45">'Request #45'!$A$1:$AG$89</definedName>
    <definedName name="_xlnm.Print_Area" localSheetId="46">'Request #46'!$A$1:$AG$89</definedName>
    <definedName name="_xlnm.Print_Area" localSheetId="47">'Request #47'!$A$1:$AG$89</definedName>
    <definedName name="_xlnm.Print_Area" localSheetId="48">'Request #48'!$A$1:$AG$89</definedName>
    <definedName name="_xlnm.Print_Area" localSheetId="5">'Request #5'!$A$1:$AG$89</definedName>
    <definedName name="_xlnm.Print_Area" localSheetId="6">'Request #6'!$A$1:$AG$89</definedName>
    <definedName name="_xlnm.Print_Area" localSheetId="7">'Request #7'!$A$1:$AG$89</definedName>
    <definedName name="_xlnm.Print_Area" localSheetId="8">'Request #8'!$A$1:$AG$89</definedName>
    <definedName name="_xlnm.Print_Area" localSheetId="9">'Request #9'!$A$1:$AG$89</definedName>
    <definedName name="_xlnm.Print_Area">#REF!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0" i="11" l="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49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67" i="10"/>
  <c r="R66" i="10"/>
  <c r="R65" i="10"/>
  <c r="R64" i="10"/>
  <c r="R63" i="10"/>
  <c r="R50" i="10"/>
  <c r="R51" i="10"/>
  <c r="R52" i="10"/>
  <c r="R53" i="10"/>
  <c r="R54" i="10"/>
  <c r="R55" i="10"/>
  <c r="R56" i="10"/>
  <c r="R57" i="10"/>
  <c r="R58" i="10"/>
  <c r="R59" i="10"/>
  <c r="R60" i="10"/>
  <c r="R61" i="10"/>
  <c r="R62" i="10"/>
  <c r="R49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44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13" i="10"/>
  <c r="R12" i="10"/>
  <c r="AF16" i="21"/>
  <c r="AF14" i="21"/>
  <c r="AA87" i="20"/>
  <c r="AA87" i="18"/>
  <c r="V12" i="5"/>
  <c r="V12" i="7" s="1"/>
  <c r="V12" i="8" s="1"/>
  <c r="V12" i="9" s="1"/>
  <c r="V12" i="10" s="1"/>
  <c r="V12" i="11" s="1"/>
  <c r="V12" i="12" s="1"/>
  <c r="V12" i="13" s="1"/>
  <c r="V12" i="14" s="1"/>
  <c r="V12" i="15" s="1"/>
  <c r="V12" i="16" s="1"/>
  <c r="V12" i="17" s="1"/>
  <c r="W12" i="17"/>
  <c r="W12" i="16"/>
  <c r="W12" i="15"/>
  <c r="W12" i="14"/>
  <c r="W12" i="13"/>
  <c r="W12" i="12"/>
  <c r="W12" i="11"/>
  <c r="W12" i="10"/>
  <c r="W12" i="9"/>
  <c r="W12" i="8"/>
  <c r="W12" i="7"/>
  <c r="W12" i="5"/>
  <c r="W12" i="4"/>
  <c r="Y12" i="4" s="1"/>
  <c r="X12" i="5" s="1"/>
  <c r="Y12" i="5"/>
  <c r="X12" i="7" s="1"/>
  <c r="Y12" i="7"/>
  <c r="V13" i="5"/>
  <c r="V13" i="7" s="1"/>
  <c r="V13" i="8"/>
  <c r="V13" i="9" s="1"/>
  <c r="V13" i="10" s="1"/>
  <c r="V13" i="11"/>
  <c r="V13" i="12" s="1"/>
  <c r="V13" i="13" s="1"/>
  <c r="V13" i="14"/>
  <c r="V13" i="15" s="1"/>
  <c r="V13" i="16" s="1"/>
  <c r="V13" i="17" s="1"/>
  <c r="W13" i="17"/>
  <c r="W13" i="16"/>
  <c r="W13" i="15"/>
  <c r="W13" i="14"/>
  <c r="W13" i="13"/>
  <c r="W13" i="12"/>
  <c r="W13" i="11"/>
  <c r="W13" i="10"/>
  <c r="W13" i="9"/>
  <c r="W13" i="8"/>
  <c r="W13" i="7"/>
  <c r="W13" i="5"/>
  <c r="W13" i="4"/>
  <c r="Y13" i="4" s="1"/>
  <c r="X13" i="5"/>
  <c r="V14" i="5"/>
  <c r="V14" i="7"/>
  <c r="V14" i="8" s="1"/>
  <c r="V14" i="11"/>
  <c r="V14" i="12" s="1"/>
  <c r="V14" i="13" s="1"/>
  <c r="V14" i="14" s="1"/>
  <c r="V14" i="15" s="1"/>
  <c r="V14" i="16" s="1"/>
  <c r="V14" i="17" s="1"/>
  <c r="W14" i="17"/>
  <c r="W14" i="16"/>
  <c r="W14" i="15"/>
  <c r="W14" i="14"/>
  <c r="W14" i="13"/>
  <c r="W14" i="12"/>
  <c r="W14" i="11"/>
  <c r="W14" i="10"/>
  <c r="W14" i="9"/>
  <c r="W14" i="8"/>
  <c r="W14" i="7"/>
  <c r="W14" i="5"/>
  <c r="W14" i="4"/>
  <c r="Y14" i="4"/>
  <c r="X14" i="5" s="1"/>
  <c r="V15" i="5"/>
  <c r="V15" i="7" s="1"/>
  <c r="V15" i="8"/>
  <c r="V15" i="9" s="1"/>
  <c r="V15" i="10" s="1"/>
  <c r="V15" i="11" s="1"/>
  <c r="V15" i="12" s="1"/>
  <c r="V15" i="13" s="1"/>
  <c r="V15" i="14" s="1"/>
  <c r="V15" i="15" s="1"/>
  <c r="V15" i="16" s="1"/>
  <c r="V15" i="17" s="1"/>
  <c r="W15" i="17"/>
  <c r="W15" i="16"/>
  <c r="W15" i="15"/>
  <c r="W15" i="14"/>
  <c r="W15" i="13"/>
  <c r="W15" i="12"/>
  <c r="W15" i="11"/>
  <c r="W15" i="10"/>
  <c r="W15" i="9"/>
  <c r="W15" i="8"/>
  <c r="W15" i="7"/>
  <c r="W15" i="5"/>
  <c r="W15" i="4"/>
  <c r="Y15" i="4" s="1"/>
  <c r="X15" i="5" s="1"/>
  <c r="V16" i="5"/>
  <c r="V16" i="7"/>
  <c r="V16" i="8" s="1"/>
  <c r="V16" i="9"/>
  <c r="V16" i="10" s="1"/>
  <c r="V16" i="11" s="1"/>
  <c r="V16" i="12" s="1"/>
  <c r="V16" i="13" s="1"/>
  <c r="V16" i="14" s="1"/>
  <c r="V16" i="15" s="1"/>
  <c r="V16" i="16" s="1"/>
  <c r="V16" i="17" s="1"/>
  <c r="W16" i="17"/>
  <c r="W16" i="16"/>
  <c r="W16" i="15"/>
  <c r="W16" i="14"/>
  <c r="W16" i="13"/>
  <c r="W16" i="12"/>
  <c r="W16" i="11"/>
  <c r="W16" i="10"/>
  <c r="W16" i="9"/>
  <c r="W16" i="8"/>
  <c r="W16" i="7"/>
  <c r="W16" i="5"/>
  <c r="Y16" i="5" s="1"/>
  <c r="X16" i="7" s="1"/>
  <c r="Y16" i="7" s="1"/>
  <c r="X16" i="8" s="1"/>
  <c r="W16" i="4"/>
  <c r="Y16" i="4"/>
  <c r="X16" i="5" s="1"/>
  <c r="Y16" i="8"/>
  <c r="X16" i="9" s="1"/>
  <c r="V17" i="5"/>
  <c r="V17" i="7"/>
  <c r="V17" i="8" s="1"/>
  <c r="V17" i="9" s="1"/>
  <c r="V17" i="10"/>
  <c r="V17" i="11" s="1"/>
  <c r="V17" i="12" s="1"/>
  <c r="V17" i="13" s="1"/>
  <c r="V17" i="14" s="1"/>
  <c r="V17" i="15" s="1"/>
  <c r="V17" i="16" s="1"/>
  <c r="V17" i="17" s="1"/>
  <c r="W17" i="17"/>
  <c r="W17" i="16"/>
  <c r="W17" i="15"/>
  <c r="W17" i="14"/>
  <c r="W17" i="13"/>
  <c r="W17" i="12"/>
  <c r="W17" i="11"/>
  <c r="W17" i="10"/>
  <c r="W17" i="9"/>
  <c r="W17" i="8"/>
  <c r="W17" i="7"/>
  <c r="W17" i="5"/>
  <c r="W17" i="4"/>
  <c r="Y17" i="4" s="1"/>
  <c r="X17" i="5" s="1"/>
  <c r="V18" i="5"/>
  <c r="V18" i="7"/>
  <c r="V18" i="8" s="1"/>
  <c r="V18" i="9"/>
  <c r="V18" i="10" s="1"/>
  <c r="V18" i="11" s="1"/>
  <c r="V18" i="12" s="1"/>
  <c r="V18" i="13" s="1"/>
  <c r="V18" i="14" s="1"/>
  <c r="V18" i="15" s="1"/>
  <c r="V18" i="16" s="1"/>
  <c r="V18" i="17" s="1"/>
  <c r="W18" i="17"/>
  <c r="W18" i="16"/>
  <c r="W18" i="15"/>
  <c r="W18" i="14"/>
  <c r="W18" i="13"/>
  <c r="W18" i="12"/>
  <c r="W18" i="11"/>
  <c r="W18" i="10"/>
  <c r="W18" i="9"/>
  <c r="W18" i="8"/>
  <c r="W18" i="7"/>
  <c r="Y18" i="7" s="1"/>
  <c r="X18" i="8" s="1"/>
  <c r="W18" i="5"/>
  <c r="W18" i="4"/>
  <c r="Y18" i="4"/>
  <c r="X18" i="5" s="1"/>
  <c r="Y18" i="5"/>
  <c r="X18" i="7" s="1"/>
  <c r="V19" i="5"/>
  <c r="V19" i="7" s="1"/>
  <c r="V19" i="8"/>
  <c r="V19" i="9" s="1"/>
  <c r="V19" i="10" s="1"/>
  <c r="V19" i="11" s="1"/>
  <c r="V19" i="12" s="1"/>
  <c r="V19" i="13" s="1"/>
  <c r="V19" i="14" s="1"/>
  <c r="V19" i="15" s="1"/>
  <c r="V19" i="16" s="1"/>
  <c r="V19" i="17" s="1"/>
  <c r="W19" i="17"/>
  <c r="W19" i="16"/>
  <c r="W19" i="15"/>
  <c r="W19" i="14"/>
  <c r="W19" i="13"/>
  <c r="W19" i="12"/>
  <c r="W19" i="11"/>
  <c r="W19" i="10"/>
  <c r="W19" i="9"/>
  <c r="W19" i="8"/>
  <c r="W19" i="7"/>
  <c r="Y19" i="7" s="1"/>
  <c r="X19" i="8" s="1"/>
  <c r="W19" i="5"/>
  <c r="W19" i="4"/>
  <c r="Y19" i="4" s="1"/>
  <c r="X19" i="5"/>
  <c r="Y19" i="5"/>
  <c r="X19" i="7" s="1"/>
  <c r="V20" i="5"/>
  <c r="V20" i="7" s="1"/>
  <c r="V20" i="8" s="1"/>
  <c r="V20" i="9" s="1"/>
  <c r="V20" i="10" s="1"/>
  <c r="V20" i="11" s="1"/>
  <c r="V20" i="12" s="1"/>
  <c r="V20" i="13" s="1"/>
  <c r="V20" i="14"/>
  <c r="V20" i="15" s="1"/>
  <c r="V20" i="16" s="1"/>
  <c r="V20" i="17" s="1"/>
  <c r="W20" i="17"/>
  <c r="W20" i="16"/>
  <c r="W20" i="15"/>
  <c r="W20" i="14"/>
  <c r="W20" i="13"/>
  <c r="W20" i="12"/>
  <c r="W20" i="11"/>
  <c r="W20" i="10"/>
  <c r="W20" i="9"/>
  <c r="W20" i="8"/>
  <c r="Y20" i="8" s="1"/>
  <c r="X20" i="9" s="1"/>
  <c r="Y20" i="9" s="1"/>
  <c r="X20" i="10" s="1"/>
  <c r="Y20" i="10" s="1"/>
  <c r="X20" i="11" s="1"/>
  <c r="Y20" i="11" s="1"/>
  <c r="X20" i="12" s="1"/>
  <c r="Y20" i="12" s="1"/>
  <c r="X20" i="13" s="1"/>
  <c r="W20" i="7"/>
  <c r="W20" i="5"/>
  <c r="W20" i="4"/>
  <c r="Y20" i="4" s="1"/>
  <c r="X20" i="5" s="1"/>
  <c r="Y20" i="5"/>
  <c r="X20" i="7" s="1"/>
  <c r="Y20" i="7"/>
  <c r="X20" i="8" s="1"/>
  <c r="V21" i="5"/>
  <c r="V21" i="7" s="1"/>
  <c r="V21" i="8"/>
  <c r="V21" i="9" s="1"/>
  <c r="V21" i="10" s="1"/>
  <c r="V21" i="11" s="1"/>
  <c r="V21" i="12" s="1"/>
  <c r="V21" i="13" s="1"/>
  <c r="V21" i="14" s="1"/>
  <c r="V21" i="15" s="1"/>
  <c r="V21" i="16" s="1"/>
  <c r="V21" i="17" s="1"/>
  <c r="W21" i="17"/>
  <c r="W21" i="16"/>
  <c r="W21" i="15"/>
  <c r="W21" i="14"/>
  <c r="W21" i="13"/>
  <c r="W21" i="12"/>
  <c r="W21" i="11"/>
  <c r="W21" i="10"/>
  <c r="W21" i="9"/>
  <c r="W21" i="8"/>
  <c r="W21" i="7"/>
  <c r="W21" i="5"/>
  <c r="W21" i="4"/>
  <c r="Y21" i="4" s="1"/>
  <c r="X21" i="5" s="1"/>
  <c r="Y21" i="5" s="1"/>
  <c r="X21" i="7" s="1"/>
  <c r="Y21" i="7" s="1"/>
  <c r="X21" i="8" s="1"/>
  <c r="V22" i="5"/>
  <c r="V22" i="7"/>
  <c r="V22" i="8" s="1"/>
  <c r="V22" i="9" s="1"/>
  <c r="V22" i="10" s="1"/>
  <c r="V22" i="11" s="1"/>
  <c r="V22" i="12" s="1"/>
  <c r="V22" i="13" s="1"/>
  <c r="V22" i="14" s="1"/>
  <c r="V22" i="15" s="1"/>
  <c r="V22" i="16" s="1"/>
  <c r="V22" i="17" s="1"/>
  <c r="W22" i="17"/>
  <c r="W22" i="16"/>
  <c r="W22" i="15"/>
  <c r="W22" i="14"/>
  <c r="W22" i="13"/>
  <c r="W22" i="12"/>
  <c r="W22" i="11"/>
  <c r="W22" i="10"/>
  <c r="W22" i="9"/>
  <c r="W22" i="8"/>
  <c r="W22" i="7"/>
  <c r="W22" i="5"/>
  <c r="W22" i="4"/>
  <c r="Y22" i="4"/>
  <c r="X22" i="5"/>
  <c r="V23" i="5"/>
  <c r="V23" i="7" s="1"/>
  <c r="V23" i="8" s="1"/>
  <c r="V23" i="9" s="1"/>
  <c r="V23" i="10" s="1"/>
  <c r="V23" i="11" s="1"/>
  <c r="V23" i="12" s="1"/>
  <c r="V23" i="13" s="1"/>
  <c r="V23" i="14" s="1"/>
  <c r="V23" i="15" s="1"/>
  <c r="V23" i="16" s="1"/>
  <c r="V23" i="17" s="1"/>
  <c r="W23" i="17"/>
  <c r="W23" i="16"/>
  <c r="W23" i="15"/>
  <c r="W23" i="14"/>
  <c r="W23" i="13"/>
  <c r="W23" i="12"/>
  <c r="W23" i="11"/>
  <c r="W23" i="10"/>
  <c r="W23" i="9"/>
  <c r="W23" i="8"/>
  <c r="W23" i="7"/>
  <c r="W23" i="5"/>
  <c r="W23" i="4"/>
  <c r="Y23" i="4" s="1"/>
  <c r="X23" i="5"/>
  <c r="V24" i="5"/>
  <c r="V24" i="7"/>
  <c r="V24" i="8" s="1"/>
  <c r="V24" i="9"/>
  <c r="V24" i="10"/>
  <c r="V24" i="11" s="1"/>
  <c r="V24" i="12" s="1"/>
  <c r="V24" i="13" s="1"/>
  <c r="V24" i="14" s="1"/>
  <c r="V24" i="15" s="1"/>
  <c r="V24" i="16" s="1"/>
  <c r="V24" i="17" s="1"/>
  <c r="W24" i="17"/>
  <c r="W24" i="16"/>
  <c r="W24" i="15"/>
  <c r="W24" i="14"/>
  <c r="W24" i="13"/>
  <c r="W24" i="12"/>
  <c r="W24" i="11"/>
  <c r="W24" i="10"/>
  <c r="W24" i="9"/>
  <c r="W24" i="8"/>
  <c r="W24" i="7"/>
  <c r="W24" i="5"/>
  <c r="W24" i="4"/>
  <c r="Y24" i="4"/>
  <c r="X24" i="5" s="1"/>
  <c r="Y24" i="5"/>
  <c r="X24" i="7"/>
  <c r="Y24" i="7"/>
  <c r="X24" i="8" s="1"/>
  <c r="Y24" i="8" s="1"/>
  <c r="X24" i="9" s="1"/>
  <c r="V25" i="5"/>
  <c r="V25" i="7"/>
  <c r="V25" i="8"/>
  <c r="V25" i="9" s="1"/>
  <c r="V25" i="10"/>
  <c r="V25" i="11" s="1"/>
  <c r="V25" i="12" s="1"/>
  <c r="V25" i="13" s="1"/>
  <c r="V25" i="14" s="1"/>
  <c r="V25" i="15" s="1"/>
  <c r="V25" i="16"/>
  <c r="V25" i="17" s="1"/>
  <c r="W25" i="17"/>
  <c r="W25" i="16"/>
  <c r="W25" i="15"/>
  <c r="W25" i="14"/>
  <c r="W25" i="13"/>
  <c r="W25" i="12"/>
  <c r="W25" i="11"/>
  <c r="W25" i="10"/>
  <c r="W25" i="9"/>
  <c r="W25" i="8"/>
  <c r="W25" i="7"/>
  <c r="W25" i="5"/>
  <c r="W25" i="4"/>
  <c r="Y25" i="4" s="1"/>
  <c r="X25" i="5"/>
  <c r="V26" i="5"/>
  <c r="V26" i="7"/>
  <c r="V26" i="8" s="1"/>
  <c r="V26" i="9" s="1"/>
  <c r="V26" i="10" s="1"/>
  <c r="V26" i="11"/>
  <c r="V26" i="12"/>
  <c r="V26" i="13" s="1"/>
  <c r="V26" i="14" s="1"/>
  <c r="V26" i="15" s="1"/>
  <c r="V26" i="16" s="1"/>
  <c r="V26" i="17" s="1"/>
  <c r="W26" i="17"/>
  <c r="W26" i="16"/>
  <c r="W26" i="15"/>
  <c r="W26" i="14"/>
  <c r="W26" i="13"/>
  <c r="W26" i="12"/>
  <c r="W26" i="11"/>
  <c r="W26" i="10"/>
  <c r="W26" i="9"/>
  <c r="W26" i="8"/>
  <c r="Y26" i="8" s="1"/>
  <c r="X26" i="9" s="1"/>
  <c r="Y26" i="9" s="1"/>
  <c r="X26" i="10" s="1"/>
  <c r="Y26" i="10" s="1"/>
  <c r="X26" i="11" s="1"/>
  <c r="W26" i="7"/>
  <c r="Y26" i="7" s="1"/>
  <c r="X26" i="8" s="1"/>
  <c r="W26" i="5"/>
  <c r="Y26" i="5" s="1"/>
  <c r="X26" i="7" s="1"/>
  <c r="W26" i="4"/>
  <c r="Y26" i="4"/>
  <c r="X26" i="5" s="1"/>
  <c r="Y26" i="11"/>
  <c r="X26" i="12" s="1"/>
  <c r="V27" i="5"/>
  <c r="V27" i="7" s="1"/>
  <c r="V27" i="8" s="1"/>
  <c r="V27" i="9" s="1"/>
  <c r="V27" i="10"/>
  <c r="V27" i="11" s="1"/>
  <c r="V27" i="12"/>
  <c r="V27" i="13" s="1"/>
  <c r="V27" i="14" s="1"/>
  <c r="V27" i="15" s="1"/>
  <c r="V27" i="16" s="1"/>
  <c r="V27" i="17" s="1"/>
  <c r="W27" i="17"/>
  <c r="W27" i="16"/>
  <c r="W27" i="15"/>
  <c r="W27" i="14"/>
  <c r="W27" i="13"/>
  <c r="W27" i="12"/>
  <c r="W27" i="11"/>
  <c r="W27" i="10"/>
  <c r="W27" i="9"/>
  <c r="W27" i="8"/>
  <c r="W27" i="7"/>
  <c r="W27" i="5"/>
  <c r="W27" i="4"/>
  <c r="Y27" i="4" s="1"/>
  <c r="X27" i="5" s="1"/>
  <c r="Y27" i="5"/>
  <c r="X27" i="7" s="1"/>
  <c r="V28" i="5"/>
  <c r="V28" i="7"/>
  <c r="V28" i="8" s="1"/>
  <c r="V28" i="9"/>
  <c r="V28" i="10" s="1"/>
  <c r="V28" i="11"/>
  <c r="V28" i="12" s="1"/>
  <c r="V28" i="13" s="1"/>
  <c r="V28" i="14" s="1"/>
  <c r="V28" i="15" s="1"/>
  <c r="V28" i="16" s="1"/>
  <c r="V28" i="17" s="1"/>
  <c r="W28" i="17"/>
  <c r="W28" i="16"/>
  <c r="W28" i="15"/>
  <c r="W28" i="14"/>
  <c r="W28" i="13"/>
  <c r="W28" i="12"/>
  <c r="W28" i="11"/>
  <c r="W28" i="10"/>
  <c r="W28" i="9"/>
  <c r="W28" i="8"/>
  <c r="W28" i="7"/>
  <c r="W28" i="5"/>
  <c r="W28" i="4"/>
  <c r="Y28" i="4" s="1"/>
  <c r="X28" i="5" s="1"/>
  <c r="Y28" i="5"/>
  <c r="X28" i="7" s="1"/>
  <c r="Y28" i="7" s="1"/>
  <c r="X28" i="8" s="1"/>
  <c r="V29" i="5"/>
  <c r="V29" i="7" s="1"/>
  <c r="V29" i="8"/>
  <c r="V29" i="9" s="1"/>
  <c r="V29" i="10" s="1"/>
  <c r="W29" i="17"/>
  <c r="W29" i="16"/>
  <c r="W29" i="15"/>
  <c r="W29" i="14"/>
  <c r="W29" i="13"/>
  <c r="W29" i="12"/>
  <c r="W29" i="11"/>
  <c r="W29" i="10"/>
  <c r="W29" i="9"/>
  <c r="W29" i="8"/>
  <c r="W29" i="7"/>
  <c r="W29" i="5"/>
  <c r="W29" i="4"/>
  <c r="Y29" i="4" s="1"/>
  <c r="X29" i="5"/>
  <c r="V30" i="5"/>
  <c r="V30" i="7"/>
  <c r="V30" i="8" s="1"/>
  <c r="V30" i="9"/>
  <c r="V30" i="10"/>
  <c r="V30" i="11" s="1"/>
  <c r="V30" i="12" s="1"/>
  <c r="V30" i="13"/>
  <c r="V30" i="14" s="1"/>
  <c r="V30" i="15" s="1"/>
  <c r="V30" i="16" s="1"/>
  <c r="V30" i="17" s="1"/>
  <c r="W30" i="17"/>
  <c r="W30" i="16"/>
  <c r="W30" i="15"/>
  <c r="W30" i="14"/>
  <c r="W30" i="13"/>
  <c r="W30" i="12"/>
  <c r="W30" i="11"/>
  <c r="W30" i="10"/>
  <c r="W30" i="9"/>
  <c r="W30" i="8"/>
  <c r="W30" i="7"/>
  <c r="W30" i="5"/>
  <c r="W30" i="4"/>
  <c r="Y30" i="4" s="1"/>
  <c r="X30" i="5" s="1"/>
  <c r="V31" i="5"/>
  <c r="V31" i="7" s="1"/>
  <c r="V31" i="8" s="1"/>
  <c r="V31" i="9" s="1"/>
  <c r="V31" i="10" s="1"/>
  <c r="V31" i="11" s="1"/>
  <c r="V31" i="12" s="1"/>
  <c r="V31" i="13" s="1"/>
  <c r="V31" i="14" s="1"/>
  <c r="V31" i="15" s="1"/>
  <c r="V31" i="16" s="1"/>
  <c r="V31" i="17"/>
  <c r="W31" i="17"/>
  <c r="W31" i="16"/>
  <c r="W31" i="15"/>
  <c r="W31" i="14"/>
  <c r="W31" i="13"/>
  <c r="W31" i="12"/>
  <c r="W31" i="11"/>
  <c r="W31" i="10"/>
  <c r="W31" i="9"/>
  <c r="W31" i="8"/>
  <c r="W31" i="7"/>
  <c r="W31" i="5"/>
  <c r="W31" i="4"/>
  <c r="Y31" i="4" s="1"/>
  <c r="X31" i="5"/>
  <c r="Y31" i="5"/>
  <c r="X31" i="7" s="1"/>
  <c r="Y31" i="7"/>
  <c r="X31" i="8" s="1"/>
  <c r="Y31" i="8" s="1"/>
  <c r="X31" i="9" s="1"/>
  <c r="V32" i="5"/>
  <c r="V32" i="7" s="1"/>
  <c r="V32" i="8" s="1"/>
  <c r="V32" i="9" s="1"/>
  <c r="V32" i="10" s="1"/>
  <c r="V32" i="11" s="1"/>
  <c r="V32" i="12" s="1"/>
  <c r="V32" i="13" s="1"/>
  <c r="V32" i="14" s="1"/>
  <c r="V32" i="15" s="1"/>
  <c r="V32" i="16" s="1"/>
  <c r="V32" i="17" s="1"/>
  <c r="W32" i="17"/>
  <c r="W32" i="16"/>
  <c r="W32" i="15"/>
  <c r="W32" i="14"/>
  <c r="W32" i="13"/>
  <c r="W32" i="12"/>
  <c r="W32" i="11"/>
  <c r="W32" i="10"/>
  <c r="W32" i="9"/>
  <c r="W32" i="8"/>
  <c r="W32" i="7"/>
  <c r="W32" i="5"/>
  <c r="W32" i="4"/>
  <c r="Y32" i="4"/>
  <c r="X32" i="5" s="1"/>
  <c r="Y32" i="5" s="1"/>
  <c r="X32" i="7" s="1"/>
  <c r="Y32" i="7" s="1"/>
  <c r="X32" i="8" s="1"/>
  <c r="Y32" i="8" s="1"/>
  <c r="X32" i="9" s="1"/>
  <c r="Y32" i="9" s="1"/>
  <c r="X32" i="10" s="1"/>
  <c r="Y32" i="10" s="1"/>
  <c r="X32" i="11" s="1"/>
  <c r="V33" i="5"/>
  <c r="V33" i="7"/>
  <c r="V33" i="8" s="1"/>
  <c r="V33" i="9" s="1"/>
  <c r="V33" i="10"/>
  <c r="V33" i="11"/>
  <c r="V33" i="12"/>
  <c r="V33" i="13" s="1"/>
  <c r="V33" i="14" s="1"/>
  <c r="V33" i="15" s="1"/>
  <c r="V33" i="16" s="1"/>
  <c r="V33" i="17" s="1"/>
  <c r="W33" i="17"/>
  <c r="W33" i="16"/>
  <c r="W33" i="15"/>
  <c r="W33" i="14"/>
  <c r="W33" i="13"/>
  <c r="W33" i="12"/>
  <c r="W33" i="11"/>
  <c r="W33" i="10"/>
  <c r="W33" i="9"/>
  <c r="W33" i="8"/>
  <c r="W33" i="7"/>
  <c r="W33" i="5"/>
  <c r="W33" i="4"/>
  <c r="Y33" i="4"/>
  <c r="X33" i="5" s="1"/>
  <c r="V34" i="5"/>
  <c r="V34" i="7"/>
  <c r="V34" i="8"/>
  <c r="V34" i="9" s="1"/>
  <c r="V34" i="10" s="1"/>
  <c r="V34" i="11" s="1"/>
  <c r="V34" i="12"/>
  <c r="V34" i="13" s="1"/>
  <c r="V34" i="14" s="1"/>
  <c r="V34" i="15" s="1"/>
  <c r="V34" i="16" s="1"/>
  <c r="V34" i="17" s="1"/>
  <c r="W34" i="17"/>
  <c r="W34" i="16"/>
  <c r="W34" i="15"/>
  <c r="W34" i="14"/>
  <c r="W34" i="13"/>
  <c r="W34" i="12"/>
  <c r="W34" i="11"/>
  <c r="W34" i="10"/>
  <c r="W34" i="9"/>
  <c r="W34" i="8"/>
  <c r="W34" i="7"/>
  <c r="W34" i="5"/>
  <c r="W34" i="4"/>
  <c r="Y34" i="4"/>
  <c r="X34" i="5" s="1"/>
  <c r="Y34" i="5" s="1"/>
  <c r="X34" i="7" s="1"/>
  <c r="V35" i="5"/>
  <c r="V35" i="7"/>
  <c r="V35" i="8" s="1"/>
  <c r="V35" i="9" s="1"/>
  <c r="V35" i="10" s="1"/>
  <c r="V35" i="11" s="1"/>
  <c r="V35" i="12" s="1"/>
  <c r="V35" i="13" s="1"/>
  <c r="V35" i="14" s="1"/>
  <c r="V35" i="15" s="1"/>
  <c r="V35" i="16" s="1"/>
  <c r="V35" i="17" s="1"/>
  <c r="W35" i="17"/>
  <c r="W35" i="16"/>
  <c r="W35" i="15"/>
  <c r="W35" i="14"/>
  <c r="W35" i="13"/>
  <c r="W35" i="12"/>
  <c r="W35" i="11"/>
  <c r="W35" i="10"/>
  <c r="W35" i="9"/>
  <c r="W35" i="8"/>
  <c r="W35" i="7"/>
  <c r="W35" i="5"/>
  <c r="W35" i="4"/>
  <c r="Y35" i="4"/>
  <c r="X35" i="5" s="1"/>
  <c r="Y35" i="5"/>
  <c r="X35" i="7"/>
  <c r="V36" i="5"/>
  <c r="V36" i="7"/>
  <c r="V36" i="8" s="1"/>
  <c r="V36" i="9" s="1"/>
  <c r="V36" i="10" s="1"/>
  <c r="W36" i="17"/>
  <c r="W36" i="16"/>
  <c r="W36" i="15"/>
  <c r="W36" i="14"/>
  <c r="W36" i="13"/>
  <c r="W36" i="12"/>
  <c r="W36" i="11"/>
  <c r="W36" i="10"/>
  <c r="W36" i="9"/>
  <c r="W36" i="8"/>
  <c r="W36" i="7"/>
  <c r="W36" i="5"/>
  <c r="W36" i="4"/>
  <c r="Y36" i="4"/>
  <c r="X36" i="5"/>
  <c r="Y36" i="5" s="1"/>
  <c r="X36" i="7"/>
  <c r="Y36" i="7" s="1"/>
  <c r="X36" i="8" s="1"/>
  <c r="V37" i="5"/>
  <c r="V37" i="7"/>
  <c r="V37" i="8" s="1"/>
  <c r="V37" i="9" s="1"/>
  <c r="V37" i="10" s="1"/>
  <c r="V37" i="11" s="1"/>
  <c r="V37" i="12" s="1"/>
  <c r="V37" i="13"/>
  <c r="V37" i="14" s="1"/>
  <c r="V37" i="15" s="1"/>
  <c r="V37" i="16" s="1"/>
  <c r="V37" i="17" s="1"/>
  <c r="W37" i="17"/>
  <c r="W37" i="16"/>
  <c r="W37" i="15"/>
  <c r="W37" i="14"/>
  <c r="W37" i="13"/>
  <c r="W37" i="12"/>
  <c r="W37" i="11"/>
  <c r="W37" i="10"/>
  <c r="W37" i="9"/>
  <c r="W37" i="8"/>
  <c r="W37" i="7"/>
  <c r="W37" i="5"/>
  <c r="W37" i="4"/>
  <c r="Y37" i="4"/>
  <c r="X37" i="5" s="1"/>
  <c r="V38" i="5"/>
  <c r="V38" i="7" s="1"/>
  <c r="V38" i="8" s="1"/>
  <c r="V38" i="9" s="1"/>
  <c r="V38" i="10"/>
  <c r="V38" i="11" s="1"/>
  <c r="V38" i="12"/>
  <c r="V38" i="13" s="1"/>
  <c r="V38" i="14" s="1"/>
  <c r="V38" i="15" s="1"/>
  <c r="V38" i="16" s="1"/>
  <c r="V38" i="17" s="1"/>
  <c r="W38" i="17"/>
  <c r="W38" i="16"/>
  <c r="W38" i="15"/>
  <c r="W38" i="14"/>
  <c r="W38" i="13"/>
  <c r="W38" i="12"/>
  <c r="W38" i="11"/>
  <c r="W38" i="10"/>
  <c r="W38" i="9"/>
  <c r="W38" i="8"/>
  <c r="W38" i="7"/>
  <c r="W38" i="5"/>
  <c r="W38" i="4"/>
  <c r="Y38" i="4" s="1"/>
  <c r="X38" i="5" s="1"/>
  <c r="V39" i="5"/>
  <c r="V39" i="7"/>
  <c r="V39" i="8" s="1"/>
  <c r="V39" i="9"/>
  <c r="V39" i="10"/>
  <c r="V39" i="11"/>
  <c r="V39" i="12" s="1"/>
  <c r="V39" i="13" s="1"/>
  <c r="V39" i="14" s="1"/>
  <c r="V39" i="15" s="1"/>
  <c r="V39" i="16" s="1"/>
  <c r="V39" i="17" s="1"/>
  <c r="W39" i="17"/>
  <c r="W39" i="16"/>
  <c r="W39" i="15"/>
  <c r="W39" i="14"/>
  <c r="W39" i="13"/>
  <c r="W39" i="12"/>
  <c r="W39" i="11"/>
  <c r="W39" i="10"/>
  <c r="W39" i="9"/>
  <c r="W39" i="8"/>
  <c r="W39" i="7"/>
  <c r="W39" i="5"/>
  <c r="W39" i="4"/>
  <c r="Y39" i="4"/>
  <c r="X39" i="5" s="1"/>
  <c r="Y39" i="5" s="1"/>
  <c r="X39" i="7" s="1"/>
  <c r="Y39" i="7" s="1"/>
  <c r="X39" i="8" s="1"/>
  <c r="V40" i="5"/>
  <c r="V40" i="7"/>
  <c r="V40" i="8"/>
  <c r="V40" i="9" s="1"/>
  <c r="V40" i="10" s="1"/>
  <c r="V40" i="11" s="1"/>
  <c r="V40" i="12"/>
  <c r="V40" i="13" s="1"/>
  <c r="V40" i="14" s="1"/>
  <c r="V40" i="15" s="1"/>
  <c r="V40" i="16" s="1"/>
  <c r="V40" i="17" s="1"/>
  <c r="W40" i="17"/>
  <c r="W40" i="16"/>
  <c r="W40" i="15"/>
  <c r="W40" i="14"/>
  <c r="W40" i="13"/>
  <c r="W40" i="12"/>
  <c r="W40" i="11"/>
  <c r="W40" i="10"/>
  <c r="W40" i="9"/>
  <c r="W40" i="8"/>
  <c r="W40" i="7"/>
  <c r="W40" i="5"/>
  <c r="W40" i="4"/>
  <c r="Y40" i="4" s="1"/>
  <c r="X40" i="5" s="1"/>
  <c r="V41" i="5"/>
  <c r="V41" i="7"/>
  <c r="V41" i="8"/>
  <c r="V41" i="9"/>
  <c r="V41" i="10" s="1"/>
  <c r="V41" i="11"/>
  <c r="V41" i="12"/>
  <c r="V41" i="13" s="1"/>
  <c r="V41" i="14" s="1"/>
  <c r="V41" i="15" s="1"/>
  <c r="V41" i="16" s="1"/>
  <c r="V41" i="17" s="1"/>
  <c r="W41" i="17"/>
  <c r="W41" i="16"/>
  <c r="W41" i="15"/>
  <c r="W41" i="14"/>
  <c r="W41" i="13"/>
  <c r="W41" i="12"/>
  <c r="W41" i="11"/>
  <c r="W41" i="10"/>
  <c r="W41" i="9"/>
  <c r="W41" i="8"/>
  <c r="W41" i="7"/>
  <c r="W41" i="5"/>
  <c r="W41" i="4"/>
  <c r="Y41" i="4" s="1"/>
  <c r="X41" i="5" s="1"/>
  <c r="Y41" i="5"/>
  <c r="X41" i="7" s="1"/>
  <c r="V42" i="5"/>
  <c r="V42" i="7" s="1"/>
  <c r="V42" i="8"/>
  <c r="V42" i="9" s="1"/>
  <c r="V42" i="10" s="1"/>
  <c r="V42" i="11" s="1"/>
  <c r="V42" i="12" s="1"/>
  <c r="V42" i="13" s="1"/>
  <c r="V42" i="14" s="1"/>
  <c r="V42" i="15"/>
  <c r="V42" i="16" s="1"/>
  <c r="V42" i="17" s="1"/>
  <c r="W42" i="17"/>
  <c r="W42" i="16"/>
  <c r="W42" i="15"/>
  <c r="W42" i="14"/>
  <c r="W42" i="13"/>
  <c r="W42" i="12"/>
  <c r="W42" i="11"/>
  <c r="W42" i="10"/>
  <c r="W42" i="9"/>
  <c r="W42" i="8"/>
  <c r="W42" i="7"/>
  <c r="W42" i="5"/>
  <c r="W42" i="4"/>
  <c r="Y42" i="4"/>
  <c r="X42" i="5"/>
  <c r="Y42" i="5" s="1"/>
  <c r="X42" i="7" s="1"/>
  <c r="Y42" i="7" s="1"/>
  <c r="X42" i="8" s="1"/>
  <c r="Y42" i="8" s="1"/>
  <c r="X42" i="9" s="1"/>
  <c r="Y42" i="9" s="1"/>
  <c r="X42" i="10" s="1"/>
  <c r="Y42" i="10" s="1"/>
  <c r="X42" i="11" s="1"/>
  <c r="V43" i="5"/>
  <c r="V43" i="7"/>
  <c r="V43" i="8" s="1"/>
  <c r="V43" i="9" s="1"/>
  <c r="V43" i="10" s="1"/>
  <c r="V43" i="11" s="1"/>
  <c r="V43" i="12" s="1"/>
  <c r="V43" i="13" s="1"/>
  <c r="V43" i="14" s="1"/>
  <c r="V43" i="15" s="1"/>
  <c r="V43" i="16"/>
  <c r="V43" i="17" s="1"/>
  <c r="W43" i="17"/>
  <c r="W43" i="16"/>
  <c r="W43" i="15"/>
  <c r="W43" i="14"/>
  <c r="W43" i="13"/>
  <c r="W43" i="12"/>
  <c r="W43" i="11"/>
  <c r="W43" i="10"/>
  <c r="W43" i="9"/>
  <c r="W43" i="8"/>
  <c r="W43" i="7"/>
  <c r="W43" i="5"/>
  <c r="W43" i="4"/>
  <c r="Y43" i="4"/>
  <c r="X43" i="5"/>
  <c r="Y43" i="5" s="1"/>
  <c r="X43" i="7" s="1"/>
  <c r="Y43" i="7"/>
  <c r="X43" i="8" s="1"/>
  <c r="V44" i="5"/>
  <c r="V44" i="7"/>
  <c r="V44" i="8"/>
  <c r="V44" i="9"/>
  <c r="V44" i="10" s="1"/>
  <c r="V44" i="11" s="1"/>
  <c r="V44" i="12" s="1"/>
  <c r="V44" i="13" s="1"/>
  <c r="V44" i="14" s="1"/>
  <c r="V44" i="15" s="1"/>
  <c r="V44" i="16" s="1"/>
  <c r="V44" i="17" s="1"/>
  <c r="W44" i="17"/>
  <c r="W44" i="16"/>
  <c r="W44" i="15"/>
  <c r="W44" i="14"/>
  <c r="W44" i="13"/>
  <c r="W44" i="12"/>
  <c r="W44" i="11"/>
  <c r="W44" i="10"/>
  <c r="W44" i="9"/>
  <c r="W44" i="8"/>
  <c r="W44" i="7"/>
  <c r="W44" i="5"/>
  <c r="Y44" i="5" s="1"/>
  <c r="X44" i="7" s="1"/>
  <c r="W44" i="4"/>
  <c r="Y44" i="4"/>
  <c r="X44" i="5"/>
  <c r="V49" i="5"/>
  <c r="V49" i="7" s="1"/>
  <c r="V49" i="8" s="1"/>
  <c r="V49" i="9" s="1"/>
  <c r="V49" i="10" s="1"/>
  <c r="W49" i="17"/>
  <c r="W49" i="16"/>
  <c r="W49" i="15"/>
  <c r="W49" i="14"/>
  <c r="W49" i="13"/>
  <c r="W49" i="12"/>
  <c r="W49" i="11"/>
  <c r="W49" i="10"/>
  <c r="W49" i="9"/>
  <c r="W49" i="8"/>
  <c r="W49" i="7"/>
  <c r="W49" i="5"/>
  <c r="W49" i="4"/>
  <c r="Y49" i="4" s="1"/>
  <c r="X49" i="5" s="1"/>
  <c r="Y49" i="5" s="1"/>
  <c r="X49" i="7" s="1"/>
  <c r="Y49" i="7" s="1"/>
  <c r="X49" i="8" s="1"/>
  <c r="Y49" i="8"/>
  <c r="X49" i="9"/>
  <c r="V50" i="5"/>
  <c r="V50" i="7"/>
  <c r="V50" i="8" s="1"/>
  <c r="V50" i="9" s="1"/>
  <c r="V50" i="10"/>
  <c r="V50" i="11"/>
  <c r="V50" i="12" s="1"/>
  <c r="V50" i="13"/>
  <c r="V50" i="14" s="1"/>
  <c r="V50" i="15" s="1"/>
  <c r="V50" i="16" s="1"/>
  <c r="V50" i="17" s="1"/>
  <c r="W50" i="17"/>
  <c r="W50" i="16"/>
  <c r="W50" i="15"/>
  <c r="W50" i="14"/>
  <c r="W50" i="13"/>
  <c r="W50" i="12"/>
  <c r="W50" i="11"/>
  <c r="W50" i="10"/>
  <c r="W50" i="9"/>
  <c r="W50" i="8"/>
  <c r="W50" i="7"/>
  <c r="W50" i="5"/>
  <c r="W50" i="4"/>
  <c r="Y50" i="4"/>
  <c r="X50" i="5" s="1"/>
  <c r="V51" i="5"/>
  <c r="V51" i="7"/>
  <c r="V51" i="8"/>
  <c r="V51" i="9" s="1"/>
  <c r="V51" i="10"/>
  <c r="V51" i="11" s="1"/>
  <c r="V51" i="12" s="1"/>
  <c r="V51" i="13" s="1"/>
  <c r="V51" i="14" s="1"/>
  <c r="V51" i="15" s="1"/>
  <c r="V51" i="16"/>
  <c r="V51" i="17" s="1"/>
  <c r="W51" i="17"/>
  <c r="W51" i="16"/>
  <c r="W51" i="15"/>
  <c r="W51" i="14"/>
  <c r="W51" i="13"/>
  <c r="W51" i="12"/>
  <c r="W51" i="11"/>
  <c r="W51" i="10"/>
  <c r="W51" i="9"/>
  <c r="W51" i="8"/>
  <c r="W51" i="7"/>
  <c r="W51" i="5"/>
  <c r="Y51" i="5" s="1"/>
  <c r="W51" i="4"/>
  <c r="Y51" i="4"/>
  <c r="X51" i="5"/>
  <c r="X51" i="7"/>
  <c r="Y51" i="7"/>
  <c r="X51" i="8" s="1"/>
  <c r="V52" i="5"/>
  <c r="V52" i="7"/>
  <c r="V52" i="8"/>
  <c r="V52" i="9" s="1"/>
  <c r="V52" i="10" s="1"/>
  <c r="V52" i="11" s="1"/>
  <c r="V52" i="12" s="1"/>
  <c r="V52" i="13" s="1"/>
  <c r="V52" i="14" s="1"/>
  <c r="V52" i="15" s="1"/>
  <c r="V52" i="16" s="1"/>
  <c r="V52" i="17" s="1"/>
  <c r="W52" i="17"/>
  <c r="W52" i="16"/>
  <c r="W52" i="15"/>
  <c r="W52" i="14"/>
  <c r="W52" i="13"/>
  <c r="W52" i="12"/>
  <c r="W52" i="11"/>
  <c r="W52" i="10"/>
  <c r="W52" i="9"/>
  <c r="W52" i="8"/>
  <c r="W52" i="7"/>
  <c r="W52" i="5"/>
  <c r="W52" i="4"/>
  <c r="Y52" i="4"/>
  <c r="X52" i="5"/>
  <c r="Y52" i="5"/>
  <c r="X52" i="7" s="1"/>
  <c r="V53" i="5"/>
  <c r="V53" i="7" s="1"/>
  <c r="V53" i="8" s="1"/>
  <c r="V53" i="9"/>
  <c r="V53" i="10"/>
  <c r="V53" i="11" s="1"/>
  <c r="V53" i="12"/>
  <c r="V53" i="13" s="1"/>
  <c r="V53" i="14" s="1"/>
  <c r="V53" i="15" s="1"/>
  <c r="V53" i="16" s="1"/>
  <c r="V53" i="17" s="1"/>
  <c r="W53" i="17"/>
  <c r="W53" i="16"/>
  <c r="W53" i="15"/>
  <c r="W53" i="14"/>
  <c r="W53" i="13"/>
  <c r="W53" i="12"/>
  <c r="W53" i="11"/>
  <c r="W53" i="10"/>
  <c r="W53" i="9"/>
  <c r="W53" i="8"/>
  <c r="W53" i="7"/>
  <c r="W53" i="5"/>
  <c r="Y53" i="5" s="1"/>
  <c r="X53" i="7" s="1"/>
  <c r="W53" i="4"/>
  <c r="Y53" i="4" s="1"/>
  <c r="X53" i="5" s="1"/>
  <c r="V54" i="5"/>
  <c r="V54" i="7" s="1"/>
  <c r="V54" i="8" s="1"/>
  <c r="V54" i="9" s="1"/>
  <c r="V54" i="10" s="1"/>
  <c r="V54" i="11" s="1"/>
  <c r="V54" i="12" s="1"/>
  <c r="V54" i="13" s="1"/>
  <c r="V54" i="14" s="1"/>
  <c r="V54" i="15" s="1"/>
  <c r="V54" i="16" s="1"/>
  <c r="V54" i="17"/>
  <c r="W54" i="17"/>
  <c r="W54" i="16"/>
  <c r="W54" i="15"/>
  <c r="W54" i="14"/>
  <c r="W54" i="13"/>
  <c r="W54" i="12"/>
  <c r="W54" i="11"/>
  <c r="W54" i="10"/>
  <c r="W54" i="9"/>
  <c r="W54" i="8"/>
  <c r="W54" i="7"/>
  <c r="W54" i="5"/>
  <c r="W54" i="4"/>
  <c r="Y54" i="4"/>
  <c r="X54" i="5" s="1"/>
  <c r="Y54" i="5"/>
  <c r="X54" i="7"/>
  <c r="Y54" i="7"/>
  <c r="X54" i="8" s="1"/>
  <c r="V55" i="5"/>
  <c r="V55" i="7"/>
  <c r="V55" i="8"/>
  <c r="V55" i="9" s="1"/>
  <c r="V55" i="10" s="1"/>
  <c r="V55" i="11" s="1"/>
  <c r="V55" i="12" s="1"/>
  <c r="V55" i="13" s="1"/>
  <c r="V55" i="14" s="1"/>
  <c r="V55" i="15" s="1"/>
  <c r="V55" i="16" s="1"/>
  <c r="V55" i="17" s="1"/>
  <c r="W55" i="17"/>
  <c r="W55" i="16"/>
  <c r="W55" i="15"/>
  <c r="W55" i="14"/>
  <c r="W55" i="13"/>
  <c r="W55" i="12"/>
  <c r="W55" i="11"/>
  <c r="W55" i="10"/>
  <c r="W55" i="9"/>
  <c r="W55" i="8"/>
  <c r="W55" i="7"/>
  <c r="Y55" i="7" s="1"/>
  <c r="X55" i="8" s="1"/>
  <c r="W55" i="5"/>
  <c r="W55" i="4"/>
  <c r="Y55" i="4"/>
  <c r="X55" i="5"/>
  <c r="Y55" i="5" s="1"/>
  <c r="X55" i="7" s="1"/>
  <c r="V56" i="5"/>
  <c r="V56" i="7" s="1"/>
  <c r="V56" i="8" s="1"/>
  <c r="V56" i="9" s="1"/>
  <c r="V56" i="10" s="1"/>
  <c r="W56" i="17"/>
  <c r="W56" i="16"/>
  <c r="W56" i="15"/>
  <c r="W56" i="14"/>
  <c r="W56" i="13"/>
  <c r="W56" i="12"/>
  <c r="W56" i="11"/>
  <c r="W56" i="10"/>
  <c r="W56" i="9"/>
  <c r="W56" i="8"/>
  <c r="W56" i="7"/>
  <c r="W56" i="5"/>
  <c r="W56" i="4"/>
  <c r="Y56" i="4" s="1"/>
  <c r="X56" i="5"/>
  <c r="V57" i="5"/>
  <c r="V57" i="7" s="1"/>
  <c r="V57" i="8" s="1"/>
  <c r="V57" i="9" s="1"/>
  <c r="V57" i="10" s="1"/>
  <c r="V57" i="11" s="1"/>
  <c r="V57" i="12" s="1"/>
  <c r="V57" i="13" s="1"/>
  <c r="V57" i="14" s="1"/>
  <c r="V57" i="15" s="1"/>
  <c r="V57" i="16" s="1"/>
  <c r="V57" i="17"/>
  <c r="W57" i="17"/>
  <c r="W57" i="16"/>
  <c r="W57" i="15"/>
  <c r="W57" i="14"/>
  <c r="W57" i="13"/>
  <c r="W57" i="12"/>
  <c r="W57" i="11"/>
  <c r="W57" i="10"/>
  <c r="W57" i="9"/>
  <c r="W57" i="8"/>
  <c r="W57" i="7"/>
  <c r="W57" i="5"/>
  <c r="W57" i="4"/>
  <c r="Y57" i="4" s="1"/>
  <c r="X57" i="5" s="1"/>
  <c r="Y57" i="5" s="1"/>
  <c r="X57" i="7"/>
  <c r="Y57" i="7" s="1"/>
  <c r="X57" i="8" s="1"/>
  <c r="Y57" i="8" s="1"/>
  <c r="X57" i="9" s="1"/>
  <c r="V58" i="5"/>
  <c r="V58" i="7" s="1"/>
  <c r="V58" i="8" s="1"/>
  <c r="V58" i="9" s="1"/>
  <c r="V58" i="10" s="1"/>
  <c r="W58" i="17"/>
  <c r="W58" i="16"/>
  <c r="W58" i="15"/>
  <c r="W58" i="14"/>
  <c r="W58" i="13"/>
  <c r="W58" i="12"/>
  <c r="W58" i="11"/>
  <c r="W58" i="10"/>
  <c r="W58" i="9"/>
  <c r="W58" i="8"/>
  <c r="W58" i="7"/>
  <c r="W58" i="5"/>
  <c r="W58" i="4"/>
  <c r="Y58" i="4"/>
  <c r="X58" i="5" s="1"/>
  <c r="V59" i="5"/>
  <c r="V59" i="7"/>
  <c r="V59" i="8" s="1"/>
  <c r="V59" i="9" s="1"/>
  <c r="V59" i="10" s="1"/>
  <c r="W59" i="17"/>
  <c r="W59" i="16"/>
  <c r="W59" i="15"/>
  <c r="W59" i="14"/>
  <c r="W59" i="13"/>
  <c r="W59" i="12"/>
  <c r="W59" i="11"/>
  <c r="W59" i="10"/>
  <c r="W59" i="9"/>
  <c r="W59" i="8"/>
  <c r="W59" i="7"/>
  <c r="W59" i="5"/>
  <c r="W59" i="4"/>
  <c r="Y59" i="4"/>
  <c r="X59" i="5" s="1"/>
  <c r="Y59" i="5" s="1"/>
  <c r="X59" i="7" s="1"/>
  <c r="V60" i="5"/>
  <c r="V60" i="7"/>
  <c r="V60" i="8"/>
  <c r="V60" i="9" s="1"/>
  <c r="V60" i="10" s="1"/>
  <c r="W60" i="17"/>
  <c r="W60" i="16"/>
  <c r="W60" i="15"/>
  <c r="W60" i="14"/>
  <c r="W60" i="13"/>
  <c r="W60" i="12"/>
  <c r="W60" i="11"/>
  <c r="W60" i="10"/>
  <c r="W60" i="9"/>
  <c r="W60" i="8"/>
  <c r="W60" i="7"/>
  <c r="W60" i="5"/>
  <c r="W60" i="4"/>
  <c r="Y60" i="4"/>
  <c r="X60" i="5"/>
  <c r="Y60" i="5" s="1"/>
  <c r="X60" i="7" s="1"/>
  <c r="V61" i="5"/>
  <c r="V61" i="7" s="1"/>
  <c r="V61" i="8" s="1"/>
  <c r="V61" i="9" s="1"/>
  <c r="V61" i="10" s="1"/>
  <c r="V61" i="11" s="1"/>
  <c r="V61" i="12" s="1"/>
  <c r="V61" i="13"/>
  <c r="V61" i="14" s="1"/>
  <c r="V61" i="15" s="1"/>
  <c r="V61" i="16" s="1"/>
  <c r="V61" i="17" s="1"/>
  <c r="W61" i="17"/>
  <c r="W61" i="16"/>
  <c r="W61" i="15"/>
  <c r="W61" i="14"/>
  <c r="W61" i="13"/>
  <c r="W61" i="12"/>
  <c r="W61" i="11"/>
  <c r="W61" i="10"/>
  <c r="W61" i="9"/>
  <c r="W61" i="8"/>
  <c r="W61" i="7"/>
  <c r="W61" i="5"/>
  <c r="Y61" i="5" s="1"/>
  <c r="X61" i="7" s="1"/>
  <c r="W61" i="4"/>
  <c r="Y61" i="4" s="1"/>
  <c r="X61" i="5" s="1"/>
  <c r="V62" i="5"/>
  <c r="V62" i="7" s="1"/>
  <c r="V62" i="8" s="1"/>
  <c r="V62" i="9" s="1"/>
  <c r="V62" i="10" s="1"/>
  <c r="V62" i="11" s="1"/>
  <c r="V62" i="12" s="1"/>
  <c r="V62" i="13" s="1"/>
  <c r="V62" i="14" s="1"/>
  <c r="V62" i="15" s="1"/>
  <c r="V62" i="16" s="1"/>
  <c r="V62" i="17" s="1"/>
  <c r="W62" i="17"/>
  <c r="W62" i="16"/>
  <c r="W62" i="15"/>
  <c r="W62" i="14"/>
  <c r="W62" i="13"/>
  <c r="W62" i="12"/>
  <c r="W62" i="11"/>
  <c r="W62" i="10"/>
  <c r="W62" i="9"/>
  <c r="W62" i="8"/>
  <c r="W62" i="7"/>
  <c r="W62" i="5"/>
  <c r="W62" i="4"/>
  <c r="Y62" i="4" s="1"/>
  <c r="X62" i="5" s="1"/>
  <c r="Y62" i="5" s="1"/>
  <c r="X62" i="7" s="1"/>
  <c r="Y62" i="7" s="1"/>
  <c r="X62" i="8" s="1"/>
  <c r="V63" i="5"/>
  <c r="V63" i="7"/>
  <c r="V63" i="8" s="1"/>
  <c r="V63" i="9" s="1"/>
  <c r="V63" i="10" s="1"/>
  <c r="W63" i="17"/>
  <c r="W63" i="16"/>
  <c r="W63" i="15"/>
  <c r="W63" i="14"/>
  <c r="W63" i="13"/>
  <c r="W63" i="12"/>
  <c r="W63" i="11"/>
  <c r="W63" i="10"/>
  <c r="W63" i="9"/>
  <c r="W63" i="8"/>
  <c r="W63" i="7"/>
  <c r="W63" i="5"/>
  <c r="W63" i="4"/>
  <c r="Y63" i="4"/>
  <c r="X63" i="5" s="1"/>
  <c r="V64" i="5"/>
  <c r="V64" i="7"/>
  <c r="V64" i="8"/>
  <c r="V64" i="9" s="1"/>
  <c r="V64" i="10" s="1"/>
  <c r="V64" i="11" s="1"/>
  <c r="V64" i="12"/>
  <c r="V64" i="13" s="1"/>
  <c r="V64" i="14" s="1"/>
  <c r="V64" i="15" s="1"/>
  <c r="V64" i="16" s="1"/>
  <c r="V64" i="17" s="1"/>
  <c r="W64" i="17"/>
  <c r="W64" i="16"/>
  <c r="W64" i="15"/>
  <c r="W64" i="14"/>
  <c r="W64" i="13"/>
  <c r="W64" i="12"/>
  <c r="W64" i="11"/>
  <c r="W64" i="10"/>
  <c r="W64" i="9"/>
  <c r="W64" i="8"/>
  <c r="W64" i="7"/>
  <c r="W64" i="5"/>
  <c r="W64" i="4"/>
  <c r="Y64" i="4"/>
  <c r="X64" i="5"/>
  <c r="V65" i="5"/>
  <c r="V65" i="7" s="1"/>
  <c r="V65" i="8" s="1"/>
  <c r="V65" i="9" s="1"/>
  <c r="V65" i="10"/>
  <c r="Y65" i="4"/>
  <c r="X65" i="5" s="1"/>
  <c r="Y65" i="5" s="1"/>
  <c r="X65" i="7" s="1"/>
  <c r="Y65" i="7" s="1"/>
  <c r="X65" i="8" s="1"/>
  <c r="Y65" i="8" s="1"/>
  <c r="X65" i="9" s="1"/>
  <c r="Y65" i="9"/>
  <c r="X65" i="10" s="1"/>
  <c r="Y65" i="10" s="1"/>
  <c r="X65" i="11" s="1"/>
  <c r="Y65" i="11" s="1"/>
  <c r="X65" i="12" s="1"/>
  <c r="Y65" i="12" s="1"/>
  <c r="X65" i="13" s="1"/>
  <c r="Y65" i="13" s="1"/>
  <c r="X65" i="14" s="1"/>
  <c r="Y65" i="14" s="1"/>
  <c r="X65" i="15" s="1"/>
  <c r="Y65" i="15" s="1"/>
  <c r="X65" i="16" s="1"/>
  <c r="Y65" i="16" s="1"/>
  <c r="X65" i="17" s="1"/>
  <c r="Y65" i="17" s="1"/>
  <c r="V66" i="5"/>
  <c r="V66" i="7"/>
  <c r="V66" i="8" s="1"/>
  <c r="V66" i="9" s="1"/>
  <c r="V66" i="10" s="1"/>
  <c r="W66" i="17"/>
  <c r="W66" i="16"/>
  <c r="W66" i="15"/>
  <c r="W66" i="14"/>
  <c r="W66" i="13"/>
  <c r="W66" i="12"/>
  <c r="W66" i="11"/>
  <c r="W66" i="10"/>
  <c r="W66" i="9"/>
  <c r="W66" i="8"/>
  <c r="W66" i="7"/>
  <c r="W66" i="5"/>
  <c r="W66" i="4"/>
  <c r="Y66" i="4"/>
  <c r="X66" i="5" s="1"/>
  <c r="V67" i="5"/>
  <c r="V67" i="7"/>
  <c r="V67" i="8" s="1"/>
  <c r="V67" i="9" s="1"/>
  <c r="V67" i="10" s="1"/>
  <c r="W67" i="17"/>
  <c r="W67" i="16"/>
  <c r="W67" i="15"/>
  <c r="W67" i="14"/>
  <c r="W67" i="13"/>
  <c r="W67" i="12"/>
  <c r="W67" i="11"/>
  <c r="W67" i="10"/>
  <c r="W67" i="9"/>
  <c r="W67" i="8"/>
  <c r="W67" i="7"/>
  <c r="W67" i="5"/>
  <c r="X67" i="5"/>
  <c r="Y67" i="5"/>
  <c r="X67" i="7" s="1"/>
  <c r="Y67" i="7" s="1"/>
  <c r="X67" i="8" s="1"/>
  <c r="Y67" i="8" s="1"/>
  <c r="X67" i="9" s="1"/>
  <c r="Y67" i="9" s="1"/>
  <c r="X67" i="10" s="1"/>
  <c r="Y67" i="10" s="1"/>
  <c r="X67" i="11" s="1"/>
  <c r="V74" i="5"/>
  <c r="V74" i="7" s="1"/>
  <c r="V74" i="8" s="1"/>
  <c r="V74" i="9" s="1"/>
  <c r="V74" i="10" s="1"/>
  <c r="V74" i="11" s="1"/>
  <c r="V74" i="12" s="1"/>
  <c r="V74" i="13" s="1"/>
  <c r="V74" i="14" s="1"/>
  <c r="V74" i="15" s="1"/>
  <c r="V74" i="16" s="1"/>
  <c r="V74" i="17" s="1"/>
  <c r="V74" i="18" s="1"/>
  <c r="V74" i="19" s="1"/>
  <c r="V74" i="20" s="1"/>
  <c r="V74" i="21" s="1"/>
  <c r="V74" i="22" s="1"/>
  <c r="V74" i="23" s="1"/>
  <c r="V74" i="24" s="1"/>
  <c r="V74" i="25" s="1"/>
  <c r="V74" i="26" s="1"/>
  <c r="V74" i="27" s="1"/>
  <c r="V74" i="28" s="1"/>
  <c r="V74" i="29" s="1"/>
  <c r="V74" i="30" s="1"/>
  <c r="V74" i="31" s="1"/>
  <c r="V74" i="32" s="1"/>
  <c r="V74" i="33" s="1"/>
  <c r="V74" i="34" s="1"/>
  <c r="V74" i="35" s="1"/>
  <c r="V74" i="36" s="1"/>
  <c r="V74" i="37" s="1"/>
  <c r="V74" i="38" s="1"/>
  <c r="V74" i="39" s="1"/>
  <c r="V74" i="40" s="1"/>
  <c r="V74" i="46" s="1"/>
  <c r="V74" i="47" s="1"/>
  <c r="V74" i="48" s="1"/>
  <c r="V74" i="49" s="1"/>
  <c r="V74" i="50" s="1"/>
  <c r="V74" i="51" s="1"/>
  <c r="V74" i="52" s="1"/>
  <c r="V74" i="53" s="1"/>
  <c r="V74" i="54" s="1"/>
  <c r="V74" i="55" s="1"/>
  <c r="V74" i="56" s="1"/>
  <c r="V74" i="57" s="1"/>
  <c r="V73" i="5"/>
  <c r="V73" i="7"/>
  <c r="V73" i="8"/>
  <c r="V73" i="9"/>
  <c r="V73" i="10" s="1"/>
  <c r="V73" i="11" s="1"/>
  <c r="V73" i="12" s="1"/>
  <c r="V73" i="13" s="1"/>
  <c r="V73" i="14" s="1"/>
  <c r="V73" i="15" s="1"/>
  <c r="V73" i="16"/>
  <c r="V73" i="17" s="1"/>
  <c r="Y72" i="4"/>
  <c r="X72" i="5"/>
  <c r="Y72" i="5" s="1"/>
  <c r="X72" i="7" s="1"/>
  <c r="Y72" i="7" s="1"/>
  <c r="X72" i="8"/>
  <c r="Y72" i="8" s="1"/>
  <c r="X72" i="9" s="1"/>
  <c r="Y72" i="9" s="1"/>
  <c r="X72" i="10" s="1"/>
  <c r="Y72" i="10" s="1"/>
  <c r="X72" i="11" s="1"/>
  <c r="Y72" i="11" s="1"/>
  <c r="X72" i="12" s="1"/>
  <c r="Y72" i="12" s="1"/>
  <c r="X72" i="13" s="1"/>
  <c r="Y72" i="13" s="1"/>
  <c r="X72" i="14" s="1"/>
  <c r="Y72" i="14" s="1"/>
  <c r="X72" i="15" s="1"/>
  <c r="Y72" i="15" s="1"/>
  <c r="X72" i="16" s="1"/>
  <c r="Y72" i="16" s="1"/>
  <c r="X72" i="17" s="1"/>
  <c r="Y72" i="17" s="1"/>
  <c r="Y73" i="4"/>
  <c r="X73" i="5" s="1"/>
  <c r="Y73" i="5" s="1"/>
  <c r="X73" i="7" s="1"/>
  <c r="Y73" i="7" s="1"/>
  <c r="X73" i="8" s="1"/>
  <c r="Y73" i="8" s="1"/>
  <c r="X73" i="9" s="1"/>
  <c r="Y73" i="9" s="1"/>
  <c r="X73" i="10" s="1"/>
  <c r="Y73" i="10" s="1"/>
  <c r="X73" i="11" s="1"/>
  <c r="Y73" i="11" s="1"/>
  <c r="X73" i="12" s="1"/>
  <c r="Y73" i="12" s="1"/>
  <c r="X73" i="13" s="1"/>
  <c r="Y73" i="13" s="1"/>
  <c r="X73" i="14" s="1"/>
  <c r="Y73" i="14" s="1"/>
  <c r="X73" i="15" s="1"/>
  <c r="Y73" i="15" s="1"/>
  <c r="X73" i="16" s="1"/>
  <c r="Y73" i="16" s="1"/>
  <c r="X73" i="17" s="1"/>
  <c r="Y73" i="17" s="1"/>
  <c r="R74" i="10"/>
  <c r="AG5" i="4"/>
  <c r="AG4" i="4"/>
  <c r="AG3" i="4"/>
  <c r="AG2" i="4"/>
  <c r="AG1" i="4"/>
  <c r="Y7" i="6"/>
  <c r="Y6" i="6"/>
  <c r="Y5" i="6"/>
  <c r="Y4" i="6"/>
  <c r="Y3" i="6"/>
  <c r="K7" i="6"/>
  <c r="Z7" i="6" s="1"/>
  <c r="K6" i="6"/>
  <c r="Z6" i="6" s="1"/>
  <c r="K5" i="6"/>
  <c r="Z5" i="6" s="1"/>
  <c r="K4" i="6"/>
  <c r="Z4" i="6" s="1"/>
  <c r="K3" i="6"/>
  <c r="Z3" i="6" s="1"/>
  <c r="AG9" i="52"/>
  <c r="AG7" i="52"/>
  <c r="AE7" i="52"/>
  <c r="AG5" i="52"/>
  <c r="AE5" i="52"/>
  <c r="AG9" i="51"/>
  <c r="AG7" i="51"/>
  <c r="AE7" i="51"/>
  <c r="AG5" i="51"/>
  <c r="AE5" i="51"/>
  <c r="AG9" i="50"/>
  <c r="AG7" i="50"/>
  <c r="AE7" i="50"/>
  <c r="AG5" i="50"/>
  <c r="AE5" i="50"/>
  <c r="AG9" i="49"/>
  <c r="AG7" i="49"/>
  <c r="AE7" i="49"/>
  <c r="AG5" i="49"/>
  <c r="AE5" i="49"/>
  <c r="AG9" i="48"/>
  <c r="AG7" i="48"/>
  <c r="AE7" i="48"/>
  <c r="AG5" i="48"/>
  <c r="AE5" i="48"/>
  <c r="AG9" i="47"/>
  <c r="AG7" i="47"/>
  <c r="AE7" i="47"/>
  <c r="AG5" i="47"/>
  <c r="AE5" i="47"/>
  <c r="AG9" i="46"/>
  <c r="AG7" i="46"/>
  <c r="AE7" i="46"/>
  <c r="AG5" i="46"/>
  <c r="AE5" i="46"/>
  <c r="AG9" i="40"/>
  <c r="AG7" i="40"/>
  <c r="AE7" i="40"/>
  <c r="AG5" i="40"/>
  <c r="AE5" i="40"/>
  <c r="AG9" i="39"/>
  <c r="AG7" i="39"/>
  <c r="AE7" i="39"/>
  <c r="AG5" i="39"/>
  <c r="AE5" i="39"/>
  <c r="AG9" i="38"/>
  <c r="AG7" i="38"/>
  <c r="AE7" i="38"/>
  <c r="AG5" i="38"/>
  <c r="AE5" i="38"/>
  <c r="AG9" i="37"/>
  <c r="AG7" i="37"/>
  <c r="AE7" i="37"/>
  <c r="AG5" i="37"/>
  <c r="AE5" i="37"/>
  <c r="AG9" i="36"/>
  <c r="AG7" i="36"/>
  <c r="AE7" i="36"/>
  <c r="AG5" i="36"/>
  <c r="AE5" i="36"/>
  <c r="AG9" i="35"/>
  <c r="AG7" i="35"/>
  <c r="AE7" i="35"/>
  <c r="AG5" i="35"/>
  <c r="AE5" i="35"/>
  <c r="AG9" i="34"/>
  <c r="AG7" i="34"/>
  <c r="AE7" i="34"/>
  <c r="AG5" i="34"/>
  <c r="AE5" i="34"/>
  <c r="AG9" i="33"/>
  <c r="AG7" i="33"/>
  <c r="AE7" i="33"/>
  <c r="AG5" i="33"/>
  <c r="AE5" i="33"/>
  <c r="AG9" i="32"/>
  <c r="AG7" i="32"/>
  <c r="AE7" i="32"/>
  <c r="AG5" i="32"/>
  <c r="AE5" i="32"/>
  <c r="AG9" i="31"/>
  <c r="AG7" i="31"/>
  <c r="AE7" i="31"/>
  <c r="AG5" i="31"/>
  <c r="AE5" i="31"/>
  <c r="AG9" i="30"/>
  <c r="AG7" i="30"/>
  <c r="AE7" i="30"/>
  <c r="AG5" i="30"/>
  <c r="AE5" i="30"/>
  <c r="AG9" i="29"/>
  <c r="AG7" i="29"/>
  <c r="AE7" i="29"/>
  <c r="AG5" i="29"/>
  <c r="AE5" i="29"/>
  <c r="AG9" i="28"/>
  <c r="AG7" i="28"/>
  <c r="AE7" i="28"/>
  <c r="AG5" i="28"/>
  <c r="AE5" i="28"/>
  <c r="AG9" i="27"/>
  <c r="AG7" i="27"/>
  <c r="AE7" i="27"/>
  <c r="AG5" i="27"/>
  <c r="AE5" i="27"/>
  <c r="AG9" i="26"/>
  <c r="AG7" i="26"/>
  <c r="AE7" i="26"/>
  <c r="AG5" i="26"/>
  <c r="AE5" i="26"/>
  <c r="AG9" i="25"/>
  <c r="AG7" i="25"/>
  <c r="AE7" i="25"/>
  <c r="AG5" i="25"/>
  <c r="AE5" i="25"/>
  <c r="AG9" i="24"/>
  <c r="AG7" i="24"/>
  <c r="AE7" i="24"/>
  <c r="AG5" i="24"/>
  <c r="AE5" i="24"/>
  <c r="AG9" i="23"/>
  <c r="AG7" i="23"/>
  <c r="AE7" i="23"/>
  <c r="AG5" i="23"/>
  <c r="AE5" i="23"/>
  <c r="AG9" i="22"/>
  <c r="AG7" i="22"/>
  <c r="AE7" i="22"/>
  <c r="AG5" i="22"/>
  <c r="AE5" i="22"/>
  <c r="AG9" i="21"/>
  <c r="AG7" i="21"/>
  <c r="AE7" i="21"/>
  <c r="AG5" i="21"/>
  <c r="AE5" i="21"/>
  <c r="AG9" i="20"/>
  <c r="AG7" i="20"/>
  <c r="AE7" i="20"/>
  <c r="AG5" i="20"/>
  <c r="AE5" i="20"/>
  <c r="AG9" i="19"/>
  <c r="AG7" i="19"/>
  <c r="AE7" i="19"/>
  <c r="AG5" i="19"/>
  <c r="AE5" i="19"/>
  <c r="AG9" i="18"/>
  <c r="AG7" i="18"/>
  <c r="AE7" i="18"/>
  <c r="AG5" i="18"/>
  <c r="AE5" i="18"/>
  <c r="AG9" i="17"/>
  <c r="AG7" i="17"/>
  <c r="AE7" i="17"/>
  <c r="AG5" i="17"/>
  <c r="AE5" i="17"/>
  <c r="AG9" i="16"/>
  <c r="AG7" i="16"/>
  <c r="AE7" i="16"/>
  <c r="AG5" i="16"/>
  <c r="AE5" i="16"/>
  <c r="AG9" i="15"/>
  <c r="AG7" i="15"/>
  <c r="AE7" i="15"/>
  <c r="AG5" i="15"/>
  <c r="AE5" i="15"/>
  <c r="AG9" i="14"/>
  <c r="AG7" i="14"/>
  <c r="AE7" i="14"/>
  <c r="AG5" i="14"/>
  <c r="AE5" i="14"/>
  <c r="AG9" i="13"/>
  <c r="AG7" i="13"/>
  <c r="AE7" i="13"/>
  <c r="AG5" i="13"/>
  <c r="AE5" i="13"/>
  <c r="AG9" i="12"/>
  <c r="AG7" i="12"/>
  <c r="AE7" i="12"/>
  <c r="AG5" i="12"/>
  <c r="AE5" i="12"/>
  <c r="AG9" i="11"/>
  <c r="AG7" i="11"/>
  <c r="AE7" i="11"/>
  <c r="AG5" i="11"/>
  <c r="AE5" i="11"/>
  <c r="AG9" i="10"/>
  <c r="AG7" i="10"/>
  <c r="AE7" i="10"/>
  <c r="AG5" i="10"/>
  <c r="AE5" i="10"/>
  <c r="AG9" i="9"/>
  <c r="AG7" i="9"/>
  <c r="AE7" i="9"/>
  <c r="AG5" i="9"/>
  <c r="AE5" i="9"/>
  <c r="AG9" i="8"/>
  <c r="AG7" i="8"/>
  <c r="AE7" i="8"/>
  <c r="AG5" i="8"/>
  <c r="AE5" i="8"/>
  <c r="AG9" i="7"/>
  <c r="AG7" i="7"/>
  <c r="AE7" i="7"/>
  <c r="AG5" i="7"/>
  <c r="AE5" i="7"/>
  <c r="AG9" i="5"/>
  <c r="AG7" i="5"/>
  <c r="AE7" i="5"/>
  <c r="AG5" i="5"/>
  <c r="AE5" i="5"/>
  <c r="AG9" i="4"/>
  <c r="AG7" i="4"/>
  <c r="AE7" i="4"/>
  <c r="AE5" i="4"/>
  <c r="AG9" i="53"/>
  <c r="AG7" i="53"/>
  <c r="AE7" i="53"/>
  <c r="AG5" i="53"/>
  <c r="AE5" i="53"/>
  <c r="AG9" i="54"/>
  <c r="AG7" i="54"/>
  <c r="AE7" i="54"/>
  <c r="AG5" i="54"/>
  <c r="AE5" i="54"/>
  <c r="AG9" i="55"/>
  <c r="AG7" i="55"/>
  <c r="AE7" i="55"/>
  <c r="AG5" i="55"/>
  <c r="AE5" i="55"/>
  <c r="AG9" i="56"/>
  <c r="AG7" i="56"/>
  <c r="AE7" i="56"/>
  <c r="AG5" i="56"/>
  <c r="AE5" i="56"/>
  <c r="U87" i="57"/>
  <c r="U87" i="56"/>
  <c r="U87" i="55"/>
  <c r="U87" i="54"/>
  <c r="U87" i="53"/>
  <c r="U87" i="52"/>
  <c r="U87" i="51"/>
  <c r="U87" i="50"/>
  <c r="U87" i="49"/>
  <c r="U87" i="48"/>
  <c r="U87" i="47"/>
  <c r="U87" i="46"/>
  <c r="U87" i="40"/>
  <c r="U87" i="39"/>
  <c r="U87" i="38"/>
  <c r="U87" i="37"/>
  <c r="U87" i="36"/>
  <c r="U87" i="35"/>
  <c r="U87" i="34"/>
  <c r="U87" i="33"/>
  <c r="U87" i="32"/>
  <c r="U87" i="31"/>
  <c r="U87" i="30"/>
  <c r="U87" i="29"/>
  <c r="U87" i="28"/>
  <c r="U87" i="27"/>
  <c r="U87" i="26"/>
  <c r="U87" i="25"/>
  <c r="U87" i="24"/>
  <c r="U87" i="23"/>
  <c r="U87" i="22"/>
  <c r="U87" i="21"/>
  <c r="U87" i="20"/>
  <c r="U87" i="19"/>
  <c r="U87" i="18"/>
  <c r="U87" i="17"/>
  <c r="U87" i="16"/>
  <c r="U87" i="15"/>
  <c r="U87" i="14"/>
  <c r="U87" i="13"/>
  <c r="U87" i="12"/>
  <c r="U87" i="11"/>
  <c r="U87" i="10"/>
  <c r="U87" i="9"/>
  <c r="U87" i="8"/>
  <c r="U87" i="7"/>
  <c r="U87" i="5"/>
  <c r="U87" i="4"/>
  <c r="H46" i="57"/>
  <c r="G46" i="57"/>
  <c r="H45" i="57"/>
  <c r="G45" i="57"/>
  <c r="H46" i="56"/>
  <c r="G46" i="56"/>
  <c r="H45" i="56"/>
  <c r="G45" i="56"/>
  <c r="H46" i="55"/>
  <c r="G46" i="55"/>
  <c r="H45" i="55"/>
  <c r="G45" i="55"/>
  <c r="H46" i="54"/>
  <c r="G46" i="54"/>
  <c r="H45" i="54"/>
  <c r="G45" i="54"/>
  <c r="H46" i="53"/>
  <c r="G46" i="53"/>
  <c r="H45" i="53"/>
  <c r="G45" i="53"/>
  <c r="H46" i="52"/>
  <c r="G46" i="52"/>
  <c r="H45" i="52"/>
  <c r="G45" i="52"/>
  <c r="H46" i="51"/>
  <c r="G46" i="51"/>
  <c r="H45" i="51"/>
  <c r="G45" i="51"/>
  <c r="H46" i="50"/>
  <c r="G46" i="50"/>
  <c r="H45" i="50"/>
  <c r="G45" i="50"/>
  <c r="H46" i="49"/>
  <c r="G46" i="49"/>
  <c r="H45" i="49"/>
  <c r="G45" i="49"/>
  <c r="H46" i="48"/>
  <c r="G46" i="48"/>
  <c r="H45" i="48"/>
  <c r="G45" i="48"/>
  <c r="H46" i="47"/>
  <c r="G46" i="47"/>
  <c r="H45" i="47"/>
  <c r="G45" i="47"/>
  <c r="H46" i="46"/>
  <c r="G46" i="46"/>
  <c r="H45" i="46"/>
  <c r="G45" i="46"/>
  <c r="H46" i="40"/>
  <c r="G46" i="40"/>
  <c r="H45" i="40"/>
  <c r="G45" i="40"/>
  <c r="G46" i="39"/>
  <c r="G45" i="39"/>
  <c r="G46" i="38"/>
  <c r="G45" i="38"/>
  <c r="G46" i="37"/>
  <c r="G45" i="37"/>
  <c r="G46" i="36"/>
  <c r="G45" i="36"/>
  <c r="G46" i="35"/>
  <c r="G45" i="35"/>
  <c r="G46" i="34"/>
  <c r="G45" i="34"/>
  <c r="G46" i="33"/>
  <c r="G45" i="33"/>
  <c r="G46" i="32"/>
  <c r="G45" i="32"/>
  <c r="G46" i="31"/>
  <c r="G45" i="31"/>
  <c r="G46" i="30"/>
  <c r="G45" i="30"/>
  <c r="G46" i="29"/>
  <c r="G45" i="29"/>
  <c r="G46" i="28"/>
  <c r="G45" i="28"/>
  <c r="G46" i="27"/>
  <c r="G45" i="27"/>
  <c r="G46" i="26"/>
  <c r="G45" i="26"/>
  <c r="G46" i="25"/>
  <c r="G45" i="25"/>
  <c r="G46" i="24"/>
  <c r="G45" i="24"/>
  <c r="G46" i="23"/>
  <c r="G45" i="23"/>
  <c r="G46" i="22"/>
  <c r="G45" i="22"/>
  <c r="G46" i="21"/>
  <c r="G45" i="21"/>
  <c r="G46" i="20"/>
  <c r="G45" i="20"/>
  <c r="G46" i="19"/>
  <c r="G45" i="19"/>
  <c r="G46" i="18"/>
  <c r="G45" i="18"/>
  <c r="G46" i="17"/>
  <c r="G45" i="17"/>
  <c r="G46" i="16"/>
  <c r="G45" i="16"/>
  <c r="G46" i="15"/>
  <c r="G45" i="15"/>
  <c r="G46" i="14"/>
  <c r="G45" i="14"/>
  <c r="G46" i="13"/>
  <c r="G45" i="13"/>
  <c r="G46" i="12"/>
  <c r="G45" i="12"/>
  <c r="G46" i="11"/>
  <c r="G45" i="11"/>
  <c r="G46" i="10"/>
  <c r="G45" i="10"/>
  <c r="G46" i="9"/>
  <c r="G45" i="9"/>
  <c r="G46" i="8"/>
  <c r="G45" i="8"/>
  <c r="G46" i="7"/>
  <c r="G45" i="7"/>
  <c r="G46" i="5"/>
  <c r="G45" i="5"/>
  <c r="AA4" i="57"/>
  <c r="U85" i="57" s="1"/>
  <c r="AA4" i="56"/>
  <c r="U85" i="56"/>
  <c r="AA4" i="55"/>
  <c r="U85" i="55" s="1"/>
  <c r="AA4" i="54"/>
  <c r="U85" i="54"/>
  <c r="AA4" i="53"/>
  <c r="U85" i="53"/>
  <c r="AA4" i="52"/>
  <c r="U85" i="52"/>
  <c r="AA4" i="51"/>
  <c r="U85" i="51" s="1"/>
  <c r="AA4" i="50"/>
  <c r="U85" i="50"/>
  <c r="AA4" i="49"/>
  <c r="U85" i="49"/>
  <c r="AA4" i="48"/>
  <c r="U85" i="48"/>
  <c r="AA4" i="47"/>
  <c r="U85" i="47" s="1"/>
  <c r="AA4" i="46"/>
  <c r="U85" i="46"/>
  <c r="AA4" i="40"/>
  <c r="U85" i="40"/>
  <c r="AA4" i="39"/>
  <c r="U85" i="39"/>
  <c r="AA4" i="38"/>
  <c r="U85" i="38" s="1"/>
  <c r="AA4" i="37"/>
  <c r="U85" i="37"/>
  <c r="AA4" i="36"/>
  <c r="U85" i="36"/>
  <c r="AA4" i="35"/>
  <c r="U85" i="35"/>
  <c r="AA4" i="34"/>
  <c r="U85" i="34" s="1"/>
  <c r="AA4" i="33"/>
  <c r="U85" i="33"/>
  <c r="AA4" i="32"/>
  <c r="U85" i="32"/>
  <c r="AA4" i="31"/>
  <c r="U85" i="31"/>
  <c r="AA4" i="30"/>
  <c r="U85" i="30" s="1"/>
  <c r="AA4" i="29"/>
  <c r="U85" i="29"/>
  <c r="AA4" i="28"/>
  <c r="U85" i="28"/>
  <c r="AA4" i="27"/>
  <c r="U85" i="27"/>
  <c r="AA4" i="26"/>
  <c r="U85" i="26" s="1"/>
  <c r="AA4" i="25"/>
  <c r="U85" i="25" s="1"/>
  <c r="AA4" i="24"/>
  <c r="U85" i="24"/>
  <c r="AA4" i="23"/>
  <c r="U85" i="23"/>
  <c r="AA4" i="22"/>
  <c r="U85" i="22" s="1"/>
  <c r="AA4" i="21"/>
  <c r="U85" i="21" s="1"/>
  <c r="AA4" i="20"/>
  <c r="U85" i="20" s="1"/>
  <c r="AA4" i="19"/>
  <c r="U85" i="19"/>
  <c r="AA4" i="18"/>
  <c r="U85" i="18" s="1"/>
  <c r="AA4" i="17"/>
  <c r="U85" i="17" s="1"/>
  <c r="AA4" i="16"/>
  <c r="U85" i="16"/>
  <c r="AA4" i="15"/>
  <c r="U85" i="15"/>
  <c r="AA4" i="14"/>
  <c r="U85" i="14" s="1"/>
  <c r="AA4" i="13"/>
  <c r="U85" i="13" s="1"/>
  <c r="AA4" i="12"/>
  <c r="U85" i="12"/>
  <c r="AA4" i="11"/>
  <c r="U85" i="11"/>
  <c r="AA4" i="10"/>
  <c r="U85" i="10" s="1"/>
  <c r="AA4" i="9"/>
  <c r="U85" i="9" s="1"/>
  <c r="AA4" i="8"/>
  <c r="U85" i="8"/>
  <c r="AA4" i="7"/>
  <c r="U85" i="7"/>
  <c r="AA4" i="5"/>
  <c r="U85" i="5" s="1"/>
  <c r="AA4" i="4"/>
  <c r="U85" i="4"/>
  <c r="U65" i="7"/>
  <c r="U65" i="8" s="1"/>
  <c r="G8" i="46"/>
  <c r="G8" i="40"/>
  <c r="G8" i="39"/>
  <c r="G8" i="38"/>
  <c r="G8" i="37"/>
  <c r="G8" i="36"/>
  <c r="G8" i="35"/>
  <c r="G8" i="34"/>
  <c r="G8" i="33"/>
  <c r="G8" i="32"/>
  <c r="G8" i="31"/>
  <c r="G8" i="30"/>
  <c r="G8" i="29"/>
  <c r="G8" i="28"/>
  <c r="G8" i="27"/>
  <c r="G8" i="26"/>
  <c r="G8" i="25"/>
  <c r="G8" i="24"/>
  <c r="G8" i="23"/>
  <c r="G8" i="22"/>
  <c r="G8" i="21"/>
  <c r="G8" i="20"/>
  <c r="G8" i="19"/>
  <c r="G8" i="18"/>
  <c r="G8" i="17"/>
  <c r="G8" i="16"/>
  <c r="G8" i="15"/>
  <c r="G8" i="14"/>
  <c r="G8" i="13"/>
  <c r="G8" i="12"/>
  <c r="G8" i="11"/>
  <c r="G8" i="10"/>
  <c r="G8" i="9"/>
  <c r="G8" i="8"/>
  <c r="G8" i="7"/>
  <c r="G8" i="5"/>
  <c r="U12" i="5"/>
  <c r="U12" i="7" s="1"/>
  <c r="U12" i="8" s="1"/>
  <c r="U12" i="9" s="1"/>
  <c r="U12" i="10" s="1"/>
  <c r="U12" i="11" s="1"/>
  <c r="U12" i="12" s="1"/>
  <c r="U12" i="13" s="1"/>
  <c r="U12" i="14" s="1"/>
  <c r="U12" i="15" s="1"/>
  <c r="U12" i="16" s="1"/>
  <c r="U12" i="17" s="1"/>
  <c r="U12" i="18" s="1"/>
  <c r="U12" i="19" s="1"/>
  <c r="U12" i="20" s="1"/>
  <c r="U12" i="21" s="1"/>
  <c r="U12" i="22" s="1"/>
  <c r="U12" i="23" s="1"/>
  <c r="U12" i="24" s="1"/>
  <c r="U12" i="25" s="1"/>
  <c r="U12" i="26" s="1"/>
  <c r="U12" i="27" s="1"/>
  <c r="U12" i="28" s="1"/>
  <c r="U12" i="29" s="1"/>
  <c r="U12" i="30" s="1"/>
  <c r="U12" i="31" s="1"/>
  <c r="U12" i="32" s="1"/>
  <c r="U12" i="33" s="1"/>
  <c r="U12" i="34" s="1"/>
  <c r="U12" i="35" s="1"/>
  <c r="U13" i="5"/>
  <c r="U13" i="7"/>
  <c r="U13" i="8" s="1"/>
  <c r="U13" i="9" s="1"/>
  <c r="U13" i="10" s="1"/>
  <c r="U13" i="11" s="1"/>
  <c r="U13" i="12" s="1"/>
  <c r="U13" i="13" s="1"/>
  <c r="U13" i="14" s="1"/>
  <c r="U13" i="15" s="1"/>
  <c r="U13" i="16" s="1"/>
  <c r="U13" i="17" s="1"/>
  <c r="U13" i="18" s="1"/>
  <c r="U13" i="19" s="1"/>
  <c r="U13" i="20" s="1"/>
  <c r="U13" i="21" s="1"/>
  <c r="U13" i="22" s="1"/>
  <c r="U13" i="23" s="1"/>
  <c r="U13" i="24" s="1"/>
  <c r="U13" i="25" s="1"/>
  <c r="U13" i="26" s="1"/>
  <c r="U13" i="27" s="1"/>
  <c r="U13" i="28" s="1"/>
  <c r="U13" i="29" s="1"/>
  <c r="U13" i="30" s="1"/>
  <c r="U13" i="31" s="1"/>
  <c r="U13" i="32" s="1"/>
  <c r="U13" i="33" s="1"/>
  <c r="U13" i="34" s="1"/>
  <c r="U13" i="35" s="1"/>
  <c r="I60" i="5"/>
  <c r="U67" i="5"/>
  <c r="U66" i="5"/>
  <c r="U64" i="5"/>
  <c r="U64" i="7" s="1"/>
  <c r="U64" i="8" s="1"/>
  <c r="U64" i="9" s="1"/>
  <c r="U64" i="10" s="1"/>
  <c r="U64" i="11" s="1"/>
  <c r="U64" i="12" s="1"/>
  <c r="U64" i="13" s="1"/>
  <c r="U64" i="14" s="1"/>
  <c r="U64" i="15" s="1"/>
  <c r="U64" i="16" s="1"/>
  <c r="U64" i="17" s="1"/>
  <c r="U64" i="18" s="1"/>
  <c r="U64" i="19" s="1"/>
  <c r="U64" i="20" s="1"/>
  <c r="U64" i="21" s="1"/>
  <c r="U64" i="22" s="1"/>
  <c r="U64" i="23" s="1"/>
  <c r="U64" i="24" s="1"/>
  <c r="U64" i="25" s="1"/>
  <c r="U64" i="26" s="1"/>
  <c r="U64" i="27" s="1"/>
  <c r="U64" i="28" s="1"/>
  <c r="U63" i="5"/>
  <c r="U62" i="5"/>
  <c r="U62" i="7" s="1"/>
  <c r="U62" i="8" s="1"/>
  <c r="U62" i="9" s="1"/>
  <c r="U62" i="10" s="1"/>
  <c r="U62" i="11" s="1"/>
  <c r="U62" i="12" s="1"/>
  <c r="U62" i="13" s="1"/>
  <c r="U62" i="14" s="1"/>
  <c r="U62" i="15" s="1"/>
  <c r="U62" i="16" s="1"/>
  <c r="U62" i="17" s="1"/>
  <c r="U62" i="18" s="1"/>
  <c r="U62" i="19" s="1"/>
  <c r="U62" i="20" s="1"/>
  <c r="U62" i="21" s="1"/>
  <c r="U62" i="22" s="1"/>
  <c r="U62" i="23" s="1"/>
  <c r="U62" i="24" s="1"/>
  <c r="U62" i="25" s="1"/>
  <c r="U62" i="26" s="1"/>
  <c r="U62" i="27" s="1"/>
  <c r="U62" i="28" s="1"/>
  <c r="U61" i="5"/>
  <c r="U60" i="5"/>
  <c r="U60" i="7"/>
  <c r="U60" i="8" s="1"/>
  <c r="U60" i="9" s="1"/>
  <c r="U60" i="10" s="1"/>
  <c r="U60" i="11" s="1"/>
  <c r="U60" i="12" s="1"/>
  <c r="U60" i="13" s="1"/>
  <c r="U60" i="14" s="1"/>
  <c r="U60" i="15" s="1"/>
  <c r="U60" i="16" s="1"/>
  <c r="U60" i="17" s="1"/>
  <c r="U60" i="18" s="1"/>
  <c r="U60" i="19" s="1"/>
  <c r="U60" i="20" s="1"/>
  <c r="U60" i="21" s="1"/>
  <c r="U59" i="5"/>
  <c r="U58" i="5"/>
  <c r="U58" i="7" s="1"/>
  <c r="U58" i="8" s="1"/>
  <c r="U58" i="9" s="1"/>
  <c r="U58" i="10" s="1"/>
  <c r="U58" i="11" s="1"/>
  <c r="U58" i="12" s="1"/>
  <c r="U58" i="13" s="1"/>
  <c r="U58" i="14" s="1"/>
  <c r="U58" i="15" s="1"/>
  <c r="U58" i="16" s="1"/>
  <c r="U58" i="17" s="1"/>
  <c r="U58" i="18" s="1"/>
  <c r="U58" i="19" s="1"/>
  <c r="U58" i="20" s="1"/>
  <c r="U58" i="21" s="1"/>
  <c r="U58" i="22" s="1"/>
  <c r="U58" i="23" s="1"/>
  <c r="U58" i="24" s="1"/>
  <c r="U58" i="25" s="1"/>
  <c r="U58" i="26" s="1"/>
  <c r="U58" i="27" s="1"/>
  <c r="U58" i="28" s="1"/>
  <c r="U57" i="5"/>
  <c r="U56" i="5"/>
  <c r="U56" i="7" s="1"/>
  <c r="U56" i="8" s="1"/>
  <c r="U56" i="9" s="1"/>
  <c r="U56" i="10" s="1"/>
  <c r="U56" i="11" s="1"/>
  <c r="U56" i="12" s="1"/>
  <c r="U56" i="13" s="1"/>
  <c r="U56" i="14" s="1"/>
  <c r="U56" i="15" s="1"/>
  <c r="U56" i="16" s="1"/>
  <c r="U56" i="17" s="1"/>
  <c r="U56" i="18" s="1"/>
  <c r="U56" i="19" s="1"/>
  <c r="U56" i="20" s="1"/>
  <c r="U56" i="21"/>
  <c r="U56" i="22" s="1"/>
  <c r="U56" i="23" s="1"/>
  <c r="U56" i="24" s="1"/>
  <c r="U56" i="25" s="1"/>
  <c r="U56" i="26" s="1"/>
  <c r="U56" i="27" s="1"/>
  <c r="U56" i="28" s="1"/>
  <c r="U55" i="5"/>
  <c r="U54" i="5"/>
  <c r="U54" i="7" s="1"/>
  <c r="U54" i="8" s="1"/>
  <c r="U54" i="9" s="1"/>
  <c r="U54" i="10" s="1"/>
  <c r="U54" i="11" s="1"/>
  <c r="U54" i="12" s="1"/>
  <c r="U54" i="13" s="1"/>
  <c r="U54" i="14" s="1"/>
  <c r="U54" i="15" s="1"/>
  <c r="U54" i="16" s="1"/>
  <c r="U54" i="17" s="1"/>
  <c r="U54" i="18" s="1"/>
  <c r="U54" i="19" s="1"/>
  <c r="U54" i="20" s="1"/>
  <c r="U54" i="21" s="1"/>
  <c r="U54" i="22" s="1"/>
  <c r="U54" i="23" s="1"/>
  <c r="U54" i="24" s="1"/>
  <c r="U54" i="25" s="1"/>
  <c r="U54" i="26" s="1"/>
  <c r="U54" i="27" s="1"/>
  <c r="U54" i="28" s="1"/>
  <c r="U53" i="5"/>
  <c r="U52" i="5"/>
  <c r="U52" i="7" s="1"/>
  <c r="U52" i="8" s="1"/>
  <c r="U52" i="9" s="1"/>
  <c r="U52" i="10" s="1"/>
  <c r="U52" i="11" s="1"/>
  <c r="U52" i="12" s="1"/>
  <c r="U52" i="13" s="1"/>
  <c r="U52" i="14" s="1"/>
  <c r="U51" i="5"/>
  <c r="I46" i="5" s="1"/>
  <c r="U50" i="5"/>
  <c r="U50" i="7" s="1"/>
  <c r="U50" i="8" s="1"/>
  <c r="U50" i="9" s="1"/>
  <c r="U50" i="10" s="1"/>
  <c r="U50" i="11" s="1"/>
  <c r="U50" i="12" s="1"/>
  <c r="U50" i="13" s="1"/>
  <c r="U50" i="14" s="1"/>
  <c r="U50" i="15" s="1"/>
  <c r="U50" i="16" s="1"/>
  <c r="U50" i="17" s="1"/>
  <c r="U50" i="18" s="1"/>
  <c r="U50" i="19" s="1"/>
  <c r="U50" i="20" s="1"/>
  <c r="U50" i="21" s="1"/>
  <c r="U50" i="22" s="1"/>
  <c r="U50" i="23" s="1"/>
  <c r="U50" i="24" s="1"/>
  <c r="U50" i="25" s="1"/>
  <c r="U50" i="26" s="1"/>
  <c r="U50" i="27" s="1"/>
  <c r="U50" i="28" s="1"/>
  <c r="I45" i="28" s="1"/>
  <c r="U49" i="5"/>
  <c r="U44" i="5"/>
  <c r="U44" i="7"/>
  <c r="U44" i="8" s="1"/>
  <c r="U44" i="9" s="1"/>
  <c r="U44" i="10" s="1"/>
  <c r="U44" i="11" s="1"/>
  <c r="U44" i="12" s="1"/>
  <c r="U44" i="13" s="1"/>
  <c r="U44" i="14" s="1"/>
  <c r="U44" i="15" s="1"/>
  <c r="U44" i="16" s="1"/>
  <c r="U44" i="17" s="1"/>
  <c r="U44" i="18" s="1"/>
  <c r="U44" i="19" s="1"/>
  <c r="U44" i="20" s="1"/>
  <c r="U44" i="21" s="1"/>
  <c r="U44" i="22" s="1"/>
  <c r="U44" i="23" s="1"/>
  <c r="U44" i="24" s="1"/>
  <c r="U44" i="25" s="1"/>
  <c r="U44" i="26" s="1"/>
  <c r="U44" i="27" s="1"/>
  <c r="U44" i="28" s="1"/>
  <c r="U43" i="5"/>
  <c r="U42" i="5"/>
  <c r="U42" i="7"/>
  <c r="U42" i="8" s="1"/>
  <c r="U42" i="9" s="1"/>
  <c r="U42" i="10" s="1"/>
  <c r="U42" i="11" s="1"/>
  <c r="U41" i="5"/>
  <c r="U40" i="5"/>
  <c r="U40" i="7"/>
  <c r="U40" i="8" s="1"/>
  <c r="U40" i="9" s="1"/>
  <c r="U40" i="10" s="1"/>
  <c r="U40" i="11" s="1"/>
  <c r="U40" i="12" s="1"/>
  <c r="U40" i="13" s="1"/>
  <c r="U40" i="14" s="1"/>
  <c r="U40" i="15" s="1"/>
  <c r="U40" i="16" s="1"/>
  <c r="U40" i="17" s="1"/>
  <c r="U40" i="18" s="1"/>
  <c r="U40" i="19" s="1"/>
  <c r="U40" i="20" s="1"/>
  <c r="U40" i="21" s="1"/>
  <c r="U40" i="22" s="1"/>
  <c r="U40" i="23" s="1"/>
  <c r="U40" i="24" s="1"/>
  <c r="U40" i="25" s="1"/>
  <c r="U40" i="26" s="1"/>
  <c r="U40" i="27" s="1"/>
  <c r="U40" i="28" s="1"/>
  <c r="U39" i="5"/>
  <c r="U38" i="5"/>
  <c r="U38" i="7"/>
  <c r="U38" i="8" s="1"/>
  <c r="U38" i="9" s="1"/>
  <c r="U38" i="10" s="1"/>
  <c r="U38" i="11" s="1"/>
  <c r="U38" i="12" s="1"/>
  <c r="U38" i="13" s="1"/>
  <c r="U37" i="5"/>
  <c r="U36" i="5"/>
  <c r="U36" i="7"/>
  <c r="U36" i="8" s="1"/>
  <c r="U36" i="9" s="1"/>
  <c r="U36" i="10" s="1"/>
  <c r="U36" i="11" s="1"/>
  <c r="U36" i="12" s="1"/>
  <c r="U36" i="13" s="1"/>
  <c r="U36" i="14" s="1"/>
  <c r="U36" i="15" s="1"/>
  <c r="U36" i="16" s="1"/>
  <c r="U36" i="17" s="1"/>
  <c r="U36" i="18" s="1"/>
  <c r="U36" i="19" s="1"/>
  <c r="U36" i="20" s="1"/>
  <c r="U36" i="21" s="1"/>
  <c r="U36" i="22" s="1"/>
  <c r="U36" i="23" s="1"/>
  <c r="U36" i="24" s="1"/>
  <c r="U36" i="25" s="1"/>
  <c r="U36" i="26" s="1"/>
  <c r="U36" i="27" s="1"/>
  <c r="U36" i="28" s="1"/>
  <c r="U35" i="5"/>
  <c r="U34" i="5"/>
  <c r="U34" i="7"/>
  <c r="U34" i="8" s="1"/>
  <c r="U34" i="9" s="1"/>
  <c r="U34" i="10" s="1"/>
  <c r="U34" i="11" s="1"/>
  <c r="U34" i="12" s="1"/>
  <c r="U34" i="13" s="1"/>
  <c r="U34" i="14" s="1"/>
  <c r="U34" i="15" s="1"/>
  <c r="U34" i="16" s="1"/>
  <c r="U34" i="17" s="1"/>
  <c r="U34" i="18" s="1"/>
  <c r="U34" i="19" s="1"/>
  <c r="U34" i="20" s="1"/>
  <c r="U34" i="21" s="1"/>
  <c r="U34" i="22" s="1"/>
  <c r="U34" i="23" s="1"/>
  <c r="U34" i="24" s="1"/>
  <c r="U34" i="25" s="1"/>
  <c r="U34" i="26" s="1"/>
  <c r="U34" i="27" s="1"/>
  <c r="U34" i="28" s="1"/>
  <c r="U33" i="5"/>
  <c r="U32" i="5"/>
  <c r="U32" i="7"/>
  <c r="U32" i="8" s="1"/>
  <c r="U32" i="9" s="1"/>
  <c r="U32" i="10" s="1"/>
  <c r="U32" i="11" s="1"/>
  <c r="U32" i="12" s="1"/>
  <c r="U32" i="13" s="1"/>
  <c r="U32" i="14" s="1"/>
  <c r="U32" i="15" s="1"/>
  <c r="U32" i="16" s="1"/>
  <c r="U32" i="17" s="1"/>
  <c r="U32" i="18" s="1"/>
  <c r="U32" i="19" s="1"/>
  <c r="U32" i="20" s="1"/>
  <c r="U32" i="21" s="1"/>
  <c r="U31" i="5"/>
  <c r="U30" i="5"/>
  <c r="U30" i="7"/>
  <c r="U30" i="8" s="1"/>
  <c r="U30" i="9" s="1"/>
  <c r="U30" i="10" s="1"/>
  <c r="U30" i="11" s="1"/>
  <c r="U30" i="12" s="1"/>
  <c r="U30" i="13" s="1"/>
  <c r="U30" i="14" s="1"/>
  <c r="U30" i="15" s="1"/>
  <c r="U30" i="16" s="1"/>
  <c r="U30" i="17" s="1"/>
  <c r="U30" i="18" s="1"/>
  <c r="U30" i="19" s="1"/>
  <c r="U30" i="20" s="1"/>
  <c r="U30" i="21" s="1"/>
  <c r="U30" i="22" s="1"/>
  <c r="U30" i="23" s="1"/>
  <c r="U30" i="24" s="1"/>
  <c r="U30" i="25" s="1"/>
  <c r="U30" i="26" s="1"/>
  <c r="U30" i="27" s="1"/>
  <c r="U30" i="28" s="1"/>
  <c r="U29" i="5"/>
  <c r="U28" i="5"/>
  <c r="U28" i="7"/>
  <c r="U28" i="8" s="1"/>
  <c r="U28" i="9" s="1"/>
  <c r="U28" i="10" s="1"/>
  <c r="U27" i="5"/>
  <c r="U26" i="5"/>
  <c r="U26" i="7"/>
  <c r="U26" i="8" s="1"/>
  <c r="U26" i="9" s="1"/>
  <c r="U26" i="10" s="1"/>
  <c r="U26" i="11" s="1"/>
  <c r="U26" i="12" s="1"/>
  <c r="U26" i="13" s="1"/>
  <c r="U26" i="14" s="1"/>
  <c r="U26" i="15" s="1"/>
  <c r="U26" i="16" s="1"/>
  <c r="U26" i="17" s="1"/>
  <c r="U26" i="18" s="1"/>
  <c r="U26" i="19" s="1"/>
  <c r="U25" i="5"/>
  <c r="U24" i="5"/>
  <c r="U24" i="7"/>
  <c r="U24" i="8" s="1"/>
  <c r="U24" i="9" s="1"/>
  <c r="U24" i="10" s="1"/>
  <c r="U24" i="11" s="1"/>
  <c r="U24" i="12" s="1"/>
  <c r="U24" i="13" s="1"/>
  <c r="U24" i="14" s="1"/>
  <c r="U24" i="15" s="1"/>
  <c r="U24" i="16" s="1"/>
  <c r="U24" i="17" s="1"/>
  <c r="U24" i="18" s="1"/>
  <c r="U24" i="19" s="1"/>
  <c r="U24" i="20" s="1"/>
  <c r="U24" i="21" s="1"/>
  <c r="U24" i="22" s="1"/>
  <c r="U24" i="23" s="1"/>
  <c r="U24" i="24" s="1"/>
  <c r="U24" i="25" s="1"/>
  <c r="U24" i="26" s="1"/>
  <c r="U24" i="27" s="1"/>
  <c r="U24" i="28" s="1"/>
  <c r="U23" i="5"/>
  <c r="U22" i="5"/>
  <c r="U22" i="7"/>
  <c r="U22" i="8" s="1"/>
  <c r="U22" i="9" s="1"/>
  <c r="U22" i="10" s="1"/>
  <c r="U22" i="11" s="1"/>
  <c r="U22" i="12" s="1"/>
  <c r="U22" i="13" s="1"/>
  <c r="U22" i="14" s="1"/>
  <c r="U22" i="15" s="1"/>
  <c r="U22" i="16" s="1"/>
  <c r="U22" i="17" s="1"/>
  <c r="U22" i="18" s="1"/>
  <c r="U22" i="19" s="1"/>
  <c r="U22" i="20" s="1"/>
  <c r="U22" i="21" s="1"/>
  <c r="U22" i="22" s="1"/>
  <c r="U22" i="23" s="1"/>
  <c r="U22" i="24" s="1"/>
  <c r="U22" i="25" s="1"/>
  <c r="U22" i="26" s="1"/>
  <c r="U22" i="27" s="1"/>
  <c r="U22" i="28" s="1"/>
  <c r="U21" i="5"/>
  <c r="U20" i="5"/>
  <c r="U20" i="7"/>
  <c r="U20" i="8" s="1"/>
  <c r="U20" i="9" s="1"/>
  <c r="U20" i="10" s="1"/>
  <c r="U20" i="11" s="1"/>
  <c r="U20" i="12" s="1"/>
  <c r="U20" i="13" s="1"/>
  <c r="U20" i="14" s="1"/>
  <c r="U20" i="15" s="1"/>
  <c r="U20" i="16" s="1"/>
  <c r="U20" i="17" s="1"/>
  <c r="U20" i="18" s="1"/>
  <c r="U20" i="19" s="1"/>
  <c r="U20" i="20" s="1"/>
  <c r="U20" i="21" s="1"/>
  <c r="U20" i="22" s="1"/>
  <c r="U20" i="23" s="1"/>
  <c r="U20" i="24" s="1"/>
  <c r="U20" i="25" s="1"/>
  <c r="U20" i="26" s="1"/>
  <c r="U20" i="27" s="1"/>
  <c r="U20" i="28" s="1"/>
  <c r="U19" i="5"/>
  <c r="U18" i="5"/>
  <c r="U18" i="7"/>
  <c r="U18" i="8" s="1"/>
  <c r="U18" i="9" s="1"/>
  <c r="U18" i="10" s="1"/>
  <c r="U18" i="11" s="1"/>
  <c r="U18" i="12" s="1"/>
  <c r="U18" i="13" s="1"/>
  <c r="U18" i="14" s="1"/>
  <c r="U17" i="5"/>
  <c r="U16" i="5"/>
  <c r="U16" i="7"/>
  <c r="U16" i="8" s="1"/>
  <c r="U16" i="9" s="1"/>
  <c r="U16" i="10" s="1"/>
  <c r="U16" i="11" s="1"/>
  <c r="U16" i="12" s="1"/>
  <c r="U16" i="13" s="1"/>
  <c r="U16" i="14" s="1"/>
  <c r="U16" i="15" s="1"/>
  <c r="U16" i="16" s="1"/>
  <c r="U16" i="17" s="1"/>
  <c r="U16" i="18" s="1"/>
  <c r="U16" i="19" s="1"/>
  <c r="U16" i="20" s="1"/>
  <c r="U16" i="21" s="1"/>
  <c r="U15" i="5"/>
  <c r="U14" i="5"/>
  <c r="U14" i="7"/>
  <c r="U14" i="8" s="1"/>
  <c r="U14" i="9" s="1"/>
  <c r="U14" i="10" s="1"/>
  <c r="U14" i="11" s="1"/>
  <c r="U14" i="12" s="1"/>
  <c r="U14" i="13" s="1"/>
  <c r="U14" i="14" s="1"/>
  <c r="U14" i="15" s="1"/>
  <c r="U14" i="16" s="1"/>
  <c r="U14" i="17" s="1"/>
  <c r="U14" i="18" s="1"/>
  <c r="U14" i="19" s="1"/>
  <c r="U14" i="20" s="1"/>
  <c r="U14" i="21" s="1"/>
  <c r="U14" i="22" s="1"/>
  <c r="U14" i="23" s="1"/>
  <c r="U14" i="24" s="1"/>
  <c r="U14" i="25" s="1"/>
  <c r="U14" i="26" s="1"/>
  <c r="U14" i="27" s="1"/>
  <c r="U14" i="28" s="1"/>
  <c r="I8" i="5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G8" i="4"/>
  <c r="AB65" i="57"/>
  <c r="O80" i="57"/>
  <c r="E80" i="57"/>
  <c r="AA78" i="57"/>
  <c r="AA67" i="57"/>
  <c r="W67" i="57"/>
  <c r="AA66" i="57"/>
  <c r="W66" i="57"/>
  <c r="AA64" i="57"/>
  <c r="W64" i="57"/>
  <c r="AA63" i="57"/>
  <c r="W63" i="57"/>
  <c r="AA62" i="57"/>
  <c r="W62" i="57"/>
  <c r="H62" i="57"/>
  <c r="G62" i="57"/>
  <c r="AA61" i="57"/>
  <c r="W61" i="57"/>
  <c r="H61" i="57"/>
  <c r="G61" i="57"/>
  <c r="AA60" i="57"/>
  <c r="W60" i="57"/>
  <c r="H60" i="57"/>
  <c r="G60" i="57"/>
  <c r="AA59" i="57"/>
  <c r="W59" i="57"/>
  <c r="H59" i="57"/>
  <c r="G59" i="57"/>
  <c r="AA58" i="57"/>
  <c r="W58" i="57"/>
  <c r="H58" i="57"/>
  <c r="G58" i="57"/>
  <c r="AA57" i="57"/>
  <c r="W57" i="57"/>
  <c r="H57" i="57"/>
  <c r="G57" i="57"/>
  <c r="AA56" i="57"/>
  <c r="W56" i="57"/>
  <c r="H56" i="57"/>
  <c r="G56" i="57"/>
  <c r="AA55" i="57"/>
  <c r="W55" i="57"/>
  <c r="H55" i="57"/>
  <c r="G55" i="57"/>
  <c r="AA54" i="57"/>
  <c r="W54" i="57"/>
  <c r="H54" i="57"/>
  <c r="G54" i="57"/>
  <c r="AA53" i="57"/>
  <c r="W53" i="57"/>
  <c r="H53" i="57"/>
  <c r="G53" i="57"/>
  <c r="AA52" i="57"/>
  <c r="W52" i="57"/>
  <c r="H52" i="57"/>
  <c r="G52" i="57"/>
  <c r="AA51" i="57"/>
  <c r="W51" i="57"/>
  <c r="H51" i="57"/>
  <c r="G51" i="57"/>
  <c r="AA50" i="57"/>
  <c r="W50" i="57"/>
  <c r="H50" i="57"/>
  <c r="G50" i="57"/>
  <c r="AA49" i="57"/>
  <c r="W49" i="57"/>
  <c r="H49" i="57"/>
  <c r="G49" i="57"/>
  <c r="H48" i="57"/>
  <c r="G48" i="57"/>
  <c r="H47" i="57"/>
  <c r="G47" i="57"/>
  <c r="AA44" i="57"/>
  <c r="W44" i="57"/>
  <c r="O44" i="57"/>
  <c r="O82" i="57"/>
  <c r="H44" i="57"/>
  <c r="G44" i="57"/>
  <c r="E44" i="57"/>
  <c r="E82" i="57" s="1"/>
  <c r="AA43" i="57"/>
  <c r="W43" i="57"/>
  <c r="H43" i="57"/>
  <c r="G43" i="57"/>
  <c r="AA42" i="57"/>
  <c r="W42" i="57"/>
  <c r="H42" i="57"/>
  <c r="G42" i="57"/>
  <c r="AA41" i="57"/>
  <c r="W41" i="57"/>
  <c r="H41" i="57"/>
  <c r="G41" i="57"/>
  <c r="AA40" i="57"/>
  <c r="W40" i="57"/>
  <c r="H40" i="57"/>
  <c r="G40" i="57"/>
  <c r="AA39" i="57"/>
  <c r="W39" i="57"/>
  <c r="H39" i="57"/>
  <c r="G39" i="57"/>
  <c r="AA38" i="57"/>
  <c r="W38" i="57"/>
  <c r="H38" i="57"/>
  <c r="G38" i="57"/>
  <c r="AA37" i="57"/>
  <c r="W37" i="57"/>
  <c r="H37" i="57"/>
  <c r="G37" i="57"/>
  <c r="AA36" i="57"/>
  <c r="W36" i="57"/>
  <c r="H36" i="57"/>
  <c r="G36" i="57"/>
  <c r="AA35" i="57"/>
  <c r="W35" i="57"/>
  <c r="H35" i="57"/>
  <c r="G35" i="57"/>
  <c r="AA34" i="57"/>
  <c r="W34" i="57"/>
  <c r="H34" i="57"/>
  <c r="G34" i="57"/>
  <c r="AA33" i="57"/>
  <c r="W33" i="57"/>
  <c r="H33" i="57"/>
  <c r="G33" i="57"/>
  <c r="AA32" i="57"/>
  <c r="W32" i="57"/>
  <c r="H32" i="57"/>
  <c r="G32" i="57"/>
  <c r="AA31" i="57"/>
  <c r="W31" i="57"/>
  <c r="H31" i="57"/>
  <c r="G31" i="57"/>
  <c r="AA30" i="57"/>
  <c r="W30" i="57"/>
  <c r="H30" i="57"/>
  <c r="G30" i="57"/>
  <c r="AA29" i="57"/>
  <c r="W29" i="57"/>
  <c r="H29" i="57"/>
  <c r="G29" i="57"/>
  <c r="AA28" i="57"/>
  <c r="W28" i="57"/>
  <c r="H28" i="57"/>
  <c r="G28" i="57"/>
  <c r="AA27" i="57"/>
  <c r="W27" i="57"/>
  <c r="H27" i="57"/>
  <c r="G27" i="57"/>
  <c r="AA26" i="57"/>
  <c r="W26" i="57"/>
  <c r="H26" i="57"/>
  <c r="G26" i="57"/>
  <c r="AA25" i="57"/>
  <c r="W25" i="57"/>
  <c r="H25" i="57"/>
  <c r="G25" i="57"/>
  <c r="AA24" i="57"/>
  <c r="W24" i="57"/>
  <c r="H24" i="57"/>
  <c r="G24" i="57"/>
  <c r="AA23" i="57"/>
  <c r="W23" i="57"/>
  <c r="H23" i="57"/>
  <c r="G23" i="57"/>
  <c r="AA22" i="57"/>
  <c r="W22" i="57"/>
  <c r="H22" i="57"/>
  <c r="G22" i="57"/>
  <c r="AA21" i="57"/>
  <c r="W21" i="57"/>
  <c r="H21" i="57"/>
  <c r="G21" i="57"/>
  <c r="AA20" i="57"/>
  <c r="W20" i="57"/>
  <c r="H20" i="57"/>
  <c r="G20" i="57"/>
  <c r="AA19" i="57"/>
  <c r="W19" i="57"/>
  <c r="H19" i="57"/>
  <c r="G19" i="57"/>
  <c r="AA18" i="57"/>
  <c r="W18" i="57"/>
  <c r="H18" i="57"/>
  <c r="G18" i="57"/>
  <c r="AA17" i="57"/>
  <c r="W17" i="57"/>
  <c r="H17" i="57"/>
  <c r="G17" i="57"/>
  <c r="AA16" i="57"/>
  <c r="W16" i="57"/>
  <c r="H16" i="57"/>
  <c r="G16" i="57"/>
  <c r="AA15" i="57"/>
  <c r="W15" i="57"/>
  <c r="H15" i="57"/>
  <c r="G15" i="57"/>
  <c r="AA14" i="57"/>
  <c r="W14" i="57"/>
  <c r="H14" i="57"/>
  <c r="G14" i="57"/>
  <c r="AA13" i="57"/>
  <c r="W13" i="57"/>
  <c r="H13" i="57"/>
  <c r="G13" i="57"/>
  <c r="AA12" i="57"/>
  <c r="AA68" i="57" s="1"/>
  <c r="W12" i="57"/>
  <c r="W68" i="57" s="1"/>
  <c r="H12" i="57"/>
  <c r="G12" i="57"/>
  <c r="H11" i="57"/>
  <c r="G11" i="57"/>
  <c r="H10" i="57"/>
  <c r="G10" i="57"/>
  <c r="AG9" i="57"/>
  <c r="H9" i="57"/>
  <c r="G9" i="57"/>
  <c r="H8" i="57"/>
  <c r="G8" i="57"/>
  <c r="AG7" i="57"/>
  <c r="AE7" i="57"/>
  <c r="G7" i="57"/>
  <c r="AG5" i="57"/>
  <c r="AE5" i="57"/>
  <c r="V5" i="57"/>
  <c r="U83" i="57" s="1"/>
  <c r="V3" i="57"/>
  <c r="U81" i="57"/>
  <c r="O3" i="57"/>
  <c r="E3" i="57"/>
  <c r="O2" i="57"/>
  <c r="E2" i="57"/>
  <c r="AB65" i="56"/>
  <c r="O80" i="56"/>
  <c r="E80" i="56"/>
  <c r="AA78" i="56"/>
  <c r="AA67" i="56"/>
  <c r="W67" i="56"/>
  <c r="AA66" i="56"/>
  <c r="W66" i="56"/>
  <c r="AA64" i="56"/>
  <c r="W64" i="56"/>
  <c r="AA63" i="56"/>
  <c r="W63" i="56"/>
  <c r="AA62" i="56"/>
  <c r="W62" i="56"/>
  <c r="H62" i="56"/>
  <c r="G62" i="56"/>
  <c r="AA61" i="56"/>
  <c r="W61" i="56"/>
  <c r="H61" i="56"/>
  <c r="G61" i="56"/>
  <c r="AA60" i="56"/>
  <c r="W60" i="56"/>
  <c r="H60" i="56"/>
  <c r="G60" i="56"/>
  <c r="AA59" i="56"/>
  <c r="W59" i="56"/>
  <c r="H59" i="56"/>
  <c r="G59" i="56"/>
  <c r="AA58" i="56"/>
  <c r="W58" i="56"/>
  <c r="H58" i="56"/>
  <c r="G58" i="56"/>
  <c r="AA57" i="56"/>
  <c r="W57" i="56"/>
  <c r="H57" i="56"/>
  <c r="G57" i="56"/>
  <c r="AA56" i="56"/>
  <c r="W56" i="56"/>
  <c r="H56" i="56"/>
  <c r="G56" i="56"/>
  <c r="AA55" i="56"/>
  <c r="W55" i="56"/>
  <c r="H55" i="56"/>
  <c r="G55" i="56"/>
  <c r="AA54" i="56"/>
  <c r="W54" i="56"/>
  <c r="H54" i="56"/>
  <c r="G54" i="56"/>
  <c r="AA53" i="56"/>
  <c r="W53" i="56"/>
  <c r="H53" i="56"/>
  <c r="G53" i="56"/>
  <c r="AA52" i="56"/>
  <c r="W52" i="56"/>
  <c r="H52" i="56"/>
  <c r="G52" i="56"/>
  <c r="AA51" i="56"/>
  <c r="W51" i="56"/>
  <c r="H51" i="56"/>
  <c r="G51" i="56"/>
  <c r="AA50" i="56"/>
  <c r="W50" i="56"/>
  <c r="H50" i="56"/>
  <c r="G50" i="56"/>
  <c r="AA49" i="56"/>
  <c r="W49" i="56"/>
  <c r="H49" i="56"/>
  <c r="G49" i="56"/>
  <c r="H48" i="56"/>
  <c r="G48" i="56"/>
  <c r="H47" i="56"/>
  <c r="G47" i="56"/>
  <c r="AA44" i="56"/>
  <c r="W44" i="56"/>
  <c r="O44" i="56"/>
  <c r="H44" i="56"/>
  <c r="G44" i="56"/>
  <c r="E44" i="56"/>
  <c r="E82" i="56" s="1"/>
  <c r="AA43" i="56"/>
  <c r="W43" i="56"/>
  <c r="H43" i="56"/>
  <c r="G43" i="56"/>
  <c r="AA42" i="56"/>
  <c r="W42" i="56"/>
  <c r="H42" i="56"/>
  <c r="G42" i="56"/>
  <c r="AA41" i="56"/>
  <c r="W41" i="56"/>
  <c r="H41" i="56"/>
  <c r="G41" i="56"/>
  <c r="AA40" i="56"/>
  <c r="W40" i="56"/>
  <c r="H40" i="56"/>
  <c r="G40" i="56"/>
  <c r="AA39" i="56"/>
  <c r="W39" i="56"/>
  <c r="H39" i="56"/>
  <c r="G39" i="56"/>
  <c r="AA38" i="56"/>
  <c r="W38" i="56"/>
  <c r="H38" i="56"/>
  <c r="G38" i="56"/>
  <c r="AA37" i="56"/>
  <c r="W37" i="56"/>
  <c r="H37" i="56"/>
  <c r="G37" i="56"/>
  <c r="AA36" i="56"/>
  <c r="W36" i="56"/>
  <c r="H36" i="56"/>
  <c r="G36" i="56"/>
  <c r="AA35" i="56"/>
  <c r="W35" i="56"/>
  <c r="H35" i="56"/>
  <c r="G35" i="56"/>
  <c r="AA34" i="56"/>
  <c r="W34" i="56"/>
  <c r="H34" i="56"/>
  <c r="G34" i="56"/>
  <c r="AA33" i="56"/>
  <c r="W33" i="56"/>
  <c r="H33" i="56"/>
  <c r="G33" i="56"/>
  <c r="AA32" i="56"/>
  <c r="W32" i="56"/>
  <c r="H32" i="56"/>
  <c r="G32" i="56"/>
  <c r="AA31" i="56"/>
  <c r="W31" i="56"/>
  <c r="H31" i="56"/>
  <c r="G31" i="56"/>
  <c r="AA30" i="56"/>
  <c r="W30" i="56"/>
  <c r="H30" i="56"/>
  <c r="G30" i="56"/>
  <c r="AA29" i="56"/>
  <c r="W29" i="56"/>
  <c r="H29" i="56"/>
  <c r="G29" i="56"/>
  <c r="AA28" i="56"/>
  <c r="W28" i="56"/>
  <c r="H28" i="56"/>
  <c r="G28" i="56"/>
  <c r="AA27" i="56"/>
  <c r="W27" i="56"/>
  <c r="H27" i="56"/>
  <c r="G27" i="56"/>
  <c r="AA26" i="56"/>
  <c r="W26" i="56"/>
  <c r="H26" i="56"/>
  <c r="G26" i="56"/>
  <c r="AA25" i="56"/>
  <c r="W25" i="56"/>
  <c r="H25" i="56"/>
  <c r="G25" i="56"/>
  <c r="AA24" i="56"/>
  <c r="W24" i="56"/>
  <c r="H24" i="56"/>
  <c r="G24" i="56"/>
  <c r="AA23" i="56"/>
  <c r="W23" i="56"/>
  <c r="H23" i="56"/>
  <c r="G23" i="56"/>
  <c r="AA22" i="56"/>
  <c r="W22" i="56"/>
  <c r="H22" i="56"/>
  <c r="G22" i="56"/>
  <c r="AA21" i="56"/>
  <c r="W21" i="56"/>
  <c r="H21" i="56"/>
  <c r="G21" i="56"/>
  <c r="AA20" i="56"/>
  <c r="W20" i="56"/>
  <c r="H20" i="56"/>
  <c r="G20" i="56"/>
  <c r="AA19" i="56"/>
  <c r="W19" i="56"/>
  <c r="H19" i="56"/>
  <c r="G19" i="56"/>
  <c r="AA18" i="56"/>
  <c r="W18" i="56"/>
  <c r="H18" i="56"/>
  <c r="G18" i="56"/>
  <c r="AA17" i="56"/>
  <c r="W17" i="56"/>
  <c r="H17" i="56"/>
  <c r="G17" i="56"/>
  <c r="AA16" i="56"/>
  <c r="W16" i="56"/>
  <c r="H16" i="56"/>
  <c r="G16" i="56"/>
  <c r="AA15" i="56"/>
  <c r="W15" i="56"/>
  <c r="H15" i="56"/>
  <c r="G15" i="56"/>
  <c r="AA14" i="56"/>
  <c r="W14" i="56"/>
  <c r="H14" i="56"/>
  <c r="G14" i="56"/>
  <c r="AA13" i="56"/>
  <c r="W13" i="56"/>
  <c r="H13" i="56"/>
  <c r="G13" i="56"/>
  <c r="AA12" i="56"/>
  <c r="W12" i="56"/>
  <c r="W68" i="56" s="1"/>
  <c r="H12" i="56"/>
  <c r="G12" i="56"/>
  <c r="H11" i="56"/>
  <c r="G11" i="56"/>
  <c r="H10" i="56"/>
  <c r="G10" i="56"/>
  <c r="H9" i="56"/>
  <c r="G9" i="56"/>
  <c r="H8" i="56"/>
  <c r="G8" i="56"/>
  <c r="G7" i="56"/>
  <c r="V5" i="56"/>
  <c r="U83" i="56" s="1"/>
  <c r="V3" i="56"/>
  <c r="U81" i="56"/>
  <c r="O3" i="56"/>
  <c r="E3" i="56"/>
  <c r="O2" i="56"/>
  <c r="E2" i="56"/>
  <c r="AB65" i="55"/>
  <c r="O80" i="55"/>
  <c r="E80" i="55"/>
  <c r="AA78" i="55"/>
  <c r="AA67" i="55"/>
  <c r="W67" i="55"/>
  <c r="AA66" i="55"/>
  <c r="W66" i="55"/>
  <c r="AA64" i="55"/>
  <c r="W64" i="55"/>
  <c r="AA63" i="55"/>
  <c r="W63" i="55"/>
  <c r="AA62" i="55"/>
  <c r="W62" i="55"/>
  <c r="H62" i="55"/>
  <c r="G62" i="55"/>
  <c r="AA61" i="55"/>
  <c r="W61" i="55"/>
  <c r="H61" i="55"/>
  <c r="G61" i="55"/>
  <c r="AA60" i="55"/>
  <c r="W60" i="55"/>
  <c r="H60" i="55"/>
  <c r="G60" i="55"/>
  <c r="AA59" i="55"/>
  <c r="W59" i="55"/>
  <c r="H59" i="55"/>
  <c r="G59" i="55"/>
  <c r="AA58" i="55"/>
  <c r="W58" i="55"/>
  <c r="H58" i="55"/>
  <c r="G58" i="55"/>
  <c r="AA57" i="55"/>
  <c r="W57" i="55"/>
  <c r="H57" i="55"/>
  <c r="G57" i="55"/>
  <c r="AA56" i="55"/>
  <c r="W56" i="55"/>
  <c r="H56" i="55"/>
  <c r="G56" i="55"/>
  <c r="AA55" i="55"/>
  <c r="W55" i="55"/>
  <c r="H55" i="55"/>
  <c r="G55" i="55"/>
  <c r="AA54" i="55"/>
  <c r="W54" i="55"/>
  <c r="H54" i="55"/>
  <c r="G54" i="55"/>
  <c r="AA53" i="55"/>
  <c r="W53" i="55"/>
  <c r="H53" i="55"/>
  <c r="G53" i="55"/>
  <c r="AA52" i="55"/>
  <c r="W52" i="55"/>
  <c r="H52" i="55"/>
  <c r="G52" i="55"/>
  <c r="AA51" i="55"/>
  <c r="W51" i="55"/>
  <c r="H51" i="55"/>
  <c r="G51" i="55"/>
  <c r="AA50" i="55"/>
  <c r="W50" i="55"/>
  <c r="H50" i="55"/>
  <c r="G50" i="55"/>
  <c r="AA49" i="55"/>
  <c r="W49" i="55"/>
  <c r="H49" i="55"/>
  <c r="G49" i="55"/>
  <c r="H48" i="55"/>
  <c r="G48" i="55"/>
  <c r="H47" i="55"/>
  <c r="G47" i="55"/>
  <c r="AA44" i="55"/>
  <c r="W44" i="55"/>
  <c r="O44" i="55"/>
  <c r="O82" i="55"/>
  <c r="H44" i="55"/>
  <c r="G44" i="55"/>
  <c r="E44" i="55"/>
  <c r="AA43" i="55"/>
  <c r="W43" i="55"/>
  <c r="H43" i="55"/>
  <c r="G43" i="55"/>
  <c r="AA42" i="55"/>
  <c r="W42" i="55"/>
  <c r="H42" i="55"/>
  <c r="G42" i="55"/>
  <c r="AA41" i="55"/>
  <c r="W41" i="55"/>
  <c r="H41" i="55"/>
  <c r="G41" i="55"/>
  <c r="AA40" i="55"/>
  <c r="W40" i="55"/>
  <c r="H40" i="55"/>
  <c r="G40" i="55"/>
  <c r="AA39" i="55"/>
  <c r="W39" i="55"/>
  <c r="H39" i="55"/>
  <c r="G39" i="55"/>
  <c r="AA38" i="55"/>
  <c r="W38" i="55"/>
  <c r="H38" i="55"/>
  <c r="G38" i="55"/>
  <c r="AA37" i="55"/>
  <c r="W37" i="55"/>
  <c r="H37" i="55"/>
  <c r="G37" i="55"/>
  <c r="AA36" i="55"/>
  <c r="W36" i="55"/>
  <c r="H36" i="55"/>
  <c r="G36" i="55"/>
  <c r="AA35" i="55"/>
  <c r="W35" i="55"/>
  <c r="H35" i="55"/>
  <c r="G35" i="55"/>
  <c r="AA34" i="55"/>
  <c r="W34" i="55"/>
  <c r="H34" i="55"/>
  <c r="G34" i="55"/>
  <c r="AA33" i="55"/>
  <c r="W33" i="55"/>
  <c r="H33" i="55"/>
  <c r="G33" i="55"/>
  <c r="AA32" i="55"/>
  <c r="W32" i="55"/>
  <c r="H32" i="55"/>
  <c r="G32" i="55"/>
  <c r="AA31" i="55"/>
  <c r="W31" i="55"/>
  <c r="H31" i="55"/>
  <c r="G31" i="55"/>
  <c r="AA30" i="55"/>
  <c r="W30" i="55"/>
  <c r="H30" i="55"/>
  <c r="G30" i="55"/>
  <c r="AA29" i="55"/>
  <c r="W29" i="55"/>
  <c r="H29" i="55"/>
  <c r="G29" i="55"/>
  <c r="AA28" i="55"/>
  <c r="W28" i="55"/>
  <c r="H28" i="55"/>
  <c r="G28" i="55"/>
  <c r="AA27" i="55"/>
  <c r="W27" i="55"/>
  <c r="H27" i="55"/>
  <c r="G27" i="55"/>
  <c r="AA26" i="55"/>
  <c r="W26" i="55"/>
  <c r="H26" i="55"/>
  <c r="G26" i="55"/>
  <c r="AA25" i="55"/>
  <c r="W25" i="55"/>
  <c r="H25" i="55"/>
  <c r="G25" i="55"/>
  <c r="AA24" i="55"/>
  <c r="W24" i="55"/>
  <c r="H24" i="55"/>
  <c r="G24" i="55"/>
  <c r="AA23" i="55"/>
  <c r="W23" i="55"/>
  <c r="H23" i="55"/>
  <c r="G23" i="55"/>
  <c r="AA22" i="55"/>
  <c r="W22" i="55"/>
  <c r="H22" i="55"/>
  <c r="G22" i="55"/>
  <c r="AA21" i="55"/>
  <c r="W21" i="55"/>
  <c r="H21" i="55"/>
  <c r="G21" i="55"/>
  <c r="AA20" i="55"/>
  <c r="W20" i="55"/>
  <c r="H20" i="55"/>
  <c r="G20" i="55"/>
  <c r="AA19" i="55"/>
  <c r="W19" i="55"/>
  <c r="H19" i="55"/>
  <c r="G19" i="55"/>
  <c r="AA18" i="55"/>
  <c r="W18" i="55"/>
  <c r="H18" i="55"/>
  <c r="G18" i="55"/>
  <c r="AA17" i="55"/>
  <c r="W17" i="55"/>
  <c r="H17" i="55"/>
  <c r="G17" i="55"/>
  <c r="AA16" i="55"/>
  <c r="W16" i="55"/>
  <c r="H16" i="55"/>
  <c r="G16" i="55"/>
  <c r="AA15" i="55"/>
  <c r="W15" i="55"/>
  <c r="H15" i="55"/>
  <c r="G15" i="55"/>
  <c r="AA14" i="55"/>
  <c r="W14" i="55"/>
  <c r="H14" i="55"/>
  <c r="G14" i="55"/>
  <c r="AA13" i="55"/>
  <c r="W13" i="55"/>
  <c r="H13" i="55"/>
  <c r="G13" i="55"/>
  <c r="AA12" i="55"/>
  <c r="W12" i="55"/>
  <c r="W68" i="55" s="1"/>
  <c r="H12" i="55"/>
  <c r="G12" i="55"/>
  <c r="H11" i="55"/>
  <c r="G11" i="55"/>
  <c r="H10" i="55"/>
  <c r="G10" i="55"/>
  <c r="H9" i="55"/>
  <c r="G9" i="55"/>
  <c r="H8" i="55"/>
  <c r="G8" i="55"/>
  <c r="G7" i="55"/>
  <c r="V5" i="55"/>
  <c r="U83" i="55"/>
  <c r="V3" i="55"/>
  <c r="U81" i="55" s="1"/>
  <c r="O3" i="55"/>
  <c r="E3" i="55"/>
  <c r="O2" i="55"/>
  <c r="E2" i="55"/>
  <c r="AB65" i="54"/>
  <c r="O80" i="54"/>
  <c r="E80" i="54"/>
  <c r="AA78" i="54"/>
  <c r="AA67" i="54"/>
  <c r="W67" i="54"/>
  <c r="AA66" i="54"/>
  <c r="W66" i="54"/>
  <c r="AA64" i="54"/>
  <c r="W64" i="54"/>
  <c r="AB64" i="54" s="1"/>
  <c r="AA63" i="54"/>
  <c r="W63" i="54"/>
  <c r="AA62" i="54"/>
  <c r="W62" i="54"/>
  <c r="H62" i="54"/>
  <c r="G62" i="54"/>
  <c r="AA61" i="54"/>
  <c r="W61" i="54"/>
  <c r="H61" i="54"/>
  <c r="G61" i="54"/>
  <c r="AA60" i="54"/>
  <c r="W60" i="54"/>
  <c r="H60" i="54"/>
  <c r="G60" i="54"/>
  <c r="AA59" i="54"/>
  <c r="W59" i="54"/>
  <c r="H59" i="54"/>
  <c r="G59" i="54"/>
  <c r="AA58" i="54"/>
  <c r="W58" i="54"/>
  <c r="H58" i="54"/>
  <c r="G58" i="54"/>
  <c r="AA57" i="54"/>
  <c r="W57" i="54"/>
  <c r="H57" i="54"/>
  <c r="G57" i="54"/>
  <c r="AA56" i="54"/>
  <c r="W56" i="54"/>
  <c r="H56" i="54"/>
  <c r="G56" i="54"/>
  <c r="AA55" i="54"/>
  <c r="W55" i="54"/>
  <c r="H55" i="54"/>
  <c r="G55" i="54"/>
  <c r="AA54" i="54"/>
  <c r="W54" i="54"/>
  <c r="H54" i="54"/>
  <c r="G54" i="54"/>
  <c r="AA53" i="54"/>
  <c r="W53" i="54"/>
  <c r="H53" i="54"/>
  <c r="G53" i="54"/>
  <c r="AA52" i="54"/>
  <c r="W52" i="54"/>
  <c r="H52" i="54"/>
  <c r="G52" i="54"/>
  <c r="AA51" i="54"/>
  <c r="W51" i="54"/>
  <c r="H51" i="54"/>
  <c r="G51" i="54"/>
  <c r="AA50" i="54"/>
  <c r="W50" i="54"/>
  <c r="H50" i="54"/>
  <c r="G50" i="54"/>
  <c r="AA49" i="54"/>
  <c r="W49" i="54"/>
  <c r="H49" i="54"/>
  <c r="G49" i="54"/>
  <c r="H48" i="54"/>
  <c r="G48" i="54"/>
  <c r="H47" i="54"/>
  <c r="G47" i="54"/>
  <c r="AA44" i="54"/>
  <c r="W44" i="54"/>
  <c r="AB44" i="54" s="1"/>
  <c r="O44" i="54"/>
  <c r="O82" i="54" s="1"/>
  <c r="H44" i="54"/>
  <c r="G44" i="54"/>
  <c r="E44" i="54"/>
  <c r="AA43" i="54"/>
  <c r="W43" i="54"/>
  <c r="H43" i="54"/>
  <c r="G43" i="54"/>
  <c r="AA42" i="54"/>
  <c r="W42" i="54"/>
  <c r="H42" i="54"/>
  <c r="G42" i="54"/>
  <c r="AA41" i="54"/>
  <c r="W41" i="54"/>
  <c r="H41" i="54"/>
  <c r="G41" i="54"/>
  <c r="AA40" i="54"/>
  <c r="W40" i="54"/>
  <c r="H40" i="54"/>
  <c r="G40" i="54"/>
  <c r="AA39" i="54"/>
  <c r="W39" i="54"/>
  <c r="H39" i="54"/>
  <c r="G39" i="54"/>
  <c r="AA38" i="54"/>
  <c r="W38" i="54"/>
  <c r="H38" i="54"/>
  <c r="G38" i="54"/>
  <c r="AA37" i="54"/>
  <c r="W37" i="54"/>
  <c r="H37" i="54"/>
  <c r="G37" i="54"/>
  <c r="AA36" i="54"/>
  <c r="W36" i="54"/>
  <c r="H36" i="54"/>
  <c r="G36" i="54"/>
  <c r="AA35" i="54"/>
  <c r="W35" i="54"/>
  <c r="H35" i="54"/>
  <c r="G35" i="54"/>
  <c r="AA34" i="54"/>
  <c r="W34" i="54"/>
  <c r="H34" i="54"/>
  <c r="G34" i="54"/>
  <c r="AA33" i="54"/>
  <c r="W33" i="54"/>
  <c r="H33" i="54"/>
  <c r="G33" i="54"/>
  <c r="AA32" i="54"/>
  <c r="W32" i="54"/>
  <c r="H32" i="54"/>
  <c r="G32" i="54"/>
  <c r="AA31" i="54"/>
  <c r="W31" i="54"/>
  <c r="H31" i="54"/>
  <c r="G31" i="54"/>
  <c r="AA30" i="54"/>
  <c r="W30" i="54"/>
  <c r="H30" i="54"/>
  <c r="G30" i="54"/>
  <c r="AA29" i="54"/>
  <c r="W29" i="54"/>
  <c r="H29" i="54"/>
  <c r="G29" i="54"/>
  <c r="AA28" i="54"/>
  <c r="W28" i="54"/>
  <c r="H28" i="54"/>
  <c r="G28" i="54"/>
  <c r="AA27" i="54"/>
  <c r="W27" i="54"/>
  <c r="H27" i="54"/>
  <c r="G27" i="54"/>
  <c r="AA26" i="54"/>
  <c r="W26" i="54"/>
  <c r="H26" i="54"/>
  <c r="G26" i="54"/>
  <c r="AA25" i="54"/>
  <c r="W25" i="54"/>
  <c r="H25" i="54"/>
  <c r="G25" i="54"/>
  <c r="AA24" i="54"/>
  <c r="W24" i="54"/>
  <c r="H24" i="54"/>
  <c r="G24" i="54"/>
  <c r="AA23" i="54"/>
  <c r="W23" i="54"/>
  <c r="H23" i="54"/>
  <c r="G23" i="54"/>
  <c r="AA22" i="54"/>
  <c r="W22" i="54"/>
  <c r="H22" i="54"/>
  <c r="G22" i="54"/>
  <c r="AA21" i="54"/>
  <c r="W21" i="54"/>
  <c r="H21" i="54"/>
  <c r="G21" i="54"/>
  <c r="AA20" i="54"/>
  <c r="W20" i="54"/>
  <c r="H20" i="54"/>
  <c r="G20" i="54"/>
  <c r="AA19" i="54"/>
  <c r="W19" i="54"/>
  <c r="H19" i="54"/>
  <c r="G19" i="54"/>
  <c r="AA18" i="54"/>
  <c r="W18" i="54"/>
  <c r="H18" i="54"/>
  <c r="G18" i="54"/>
  <c r="AA17" i="54"/>
  <c r="W17" i="54"/>
  <c r="H17" i="54"/>
  <c r="G17" i="54"/>
  <c r="AA16" i="54"/>
  <c r="W16" i="54"/>
  <c r="H16" i="54"/>
  <c r="G16" i="54"/>
  <c r="AA15" i="54"/>
  <c r="W15" i="54"/>
  <c r="H15" i="54"/>
  <c r="G15" i="54"/>
  <c r="AA14" i="54"/>
  <c r="W14" i="54"/>
  <c r="H14" i="54"/>
  <c r="G14" i="54"/>
  <c r="AA13" i="54"/>
  <c r="W13" i="54"/>
  <c r="W68" i="54" s="1"/>
  <c r="H13" i="54"/>
  <c r="G13" i="54"/>
  <c r="AA12" i="54"/>
  <c r="AA68" i="54" s="1"/>
  <c r="W12" i="54"/>
  <c r="H12" i="54"/>
  <c r="G12" i="54"/>
  <c r="H11" i="54"/>
  <c r="G11" i="54"/>
  <c r="H10" i="54"/>
  <c r="G10" i="54"/>
  <c r="H9" i="54"/>
  <c r="G9" i="54"/>
  <c r="H8" i="54"/>
  <c r="G8" i="54"/>
  <c r="G7" i="54"/>
  <c r="V5" i="54"/>
  <c r="U83" i="54" s="1"/>
  <c r="V3" i="54"/>
  <c r="U81" i="54" s="1"/>
  <c r="O3" i="54"/>
  <c r="E3" i="54"/>
  <c r="O2" i="54"/>
  <c r="E2" i="54"/>
  <c r="AB65" i="53"/>
  <c r="O80" i="53"/>
  <c r="E80" i="53"/>
  <c r="AA78" i="53"/>
  <c r="AA67" i="53"/>
  <c r="W67" i="53"/>
  <c r="AA66" i="53"/>
  <c r="AB66" i="54"/>
  <c r="W66" i="53"/>
  <c r="AA64" i="53"/>
  <c r="W64" i="53"/>
  <c r="AA63" i="53"/>
  <c r="W63" i="53"/>
  <c r="AA62" i="53"/>
  <c r="AB62" i="54"/>
  <c r="W62" i="53"/>
  <c r="H62" i="53"/>
  <c r="G62" i="53"/>
  <c r="AA61" i="53"/>
  <c r="W61" i="53"/>
  <c r="H61" i="53"/>
  <c r="G61" i="53"/>
  <c r="AA60" i="53"/>
  <c r="AB60" i="54"/>
  <c r="W60" i="53"/>
  <c r="H60" i="53"/>
  <c r="G60" i="53"/>
  <c r="AA59" i="53"/>
  <c r="W59" i="53"/>
  <c r="H59" i="53"/>
  <c r="G59" i="53"/>
  <c r="AA58" i="53"/>
  <c r="AB58" i="54" s="1"/>
  <c r="W58" i="53"/>
  <c r="H58" i="53"/>
  <c r="G58" i="53"/>
  <c r="AA57" i="53"/>
  <c r="W57" i="53"/>
  <c r="H57" i="53"/>
  <c r="G57" i="53"/>
  <c r="AA56" i="53"/>
  <c r="AB56" i="54" s="1"/>
  <c r="W56" i="53"/>
  <c r="H56" i="53"/>
  <c r="G56" i="53"/>
  <c r="AA55" i="53"/>
  <c r="W55" i="53"/>
  <c r="H55" i="53"/>
  <c r="G55" i="53"/>
  <c r="AA54" i="53"/>
  <c r="AB54" i="54" s="1"/>
  <c r="W54" i="53"/>
  <c r="H54" i="53"/>
  <c r="G54" i="53"/>
  <c r="AA53" i="53"/>
  <c r="W53" i="53"/>
  <c r="H53" i="53"/>
  <c r="G53" i="53"/>
  <c r="AA52" i="53"/>
  <c r="AB52" i="54"/>
  <c r="W52" i="53"/>
  <c r="H52" i="53"/>
  <c r="G52" i="53"/>
  <c r="AA51" i="53"/>
  <c r="W51" i="53"/>
  <c r="H51" i="53"/>
  <c r="G51" i="53"/>
  <c r="AA50" i="53"/>
  <c r="AB50" i="54"/>
  <c r="W50" i="53"/>
  <c r="H50" i="53"/>
  <c r="G50" i="53"/>
  <c r="AA49" i="53"/>
  <c r="W49" i="53"/>
  <c r="H49" i="53"/>
  <c r="G49" i="53"/>
  <c r="H48" i="53"/>
  <c r="G48" i="53"/>
  <c r="H47" i="53"/>
  <c r="G47" i="53"/>
  <c r="AA44" i="53"/>
  <c r="W44" i="53"/>
  <c r="O44" i="53"/>
  <c r="H44" i="53"/>
  <c r="G44" i="53"/>
  <c r="E44" i="53"/>
  <c r="E82" i="53"/>
  <c r="AA43" i="53"/>
  <c r="W43" i="53"/>
  <c r="H43" i="53"/>
  <c r="G43" i="53"/>
  <c r="AA42" i="53"/>
  <c r="AB42" i="54"/>
  <c r="W42" i="53"/>
  <c r="H42" i="53"/>
  <c r="G42" i="53"/>
  <c r="AA41" i="53"/>
  <c r="W41" i="53"/>
  <c r="H41" i="53"/>
  <c r="G41" i="53"/>
  <c r="AA40" i="53"/>
  <c r="AB40" i="54"/>
  <c r="W40" i="53"/>
  <c r="H40" i="53"/>
  <c r="G40" i="53"/>
  <c r="AA39" i="53"/>
  <c r="W39" i="53"/>
  <c r="H39" i="53"/>
  <c r="G39" i="53"/>
  <c r="AA38" i="53"/>
  <c r="AB38" i="54"/>
  <c r="W38" i="53"/>
  <c r="H38" i="53"/>
  <c r="G38" i="53"/>
  <c r="AA37" i="53"/>
  <c r="W37" i="53"/>
  <c r="H37" i="53"/>
  <c r="G37" i="53"/>
  <c r="AA36" i="53"/>
  <c r="AB36" i="54" s="1"/>
  <c r="W36" i="53"/>
  <c r="H36" i="53"/>
  <c r="G36" i="53"/>
  <c r="AA35" i="53"/>
  <c r="W35" i="53"/>
  <c r="H35" i="53"/>
  <c r="G35" i="53"/>
  <c r="AA34" i="53"/>
  <c r="AB34" i="54" s="1"/>
  <c r="W34" i="53"/>
  <c r="H34" i="53"/>
  <c r="G34" i="53"/>
  <c r="AA33" i="53"/>
  <c r="W33" i="53"/>
  <c r="H33" i="53"/>
  <c r="G33" i="53"/>
  <c r="AA32" i="53"/>
  <c r="AB32" i="54"/>
  <c r="W32" i="53"/>
  <c r="H32" i="53"/>
  <c r="G32" i="53"/>
  <c r="AA31" i="53"/>
  <c r="W31" i="53"/>
  <c r="H31" i="53"/>
  <c r="G31" i="53"/>
  <c r="AA30" i="53"/>
  <c r="AB30" i="54"/>
  <c r="W30" i="53"/>
  <c r="H30" i="53"/>
  <c r="G30" i="53"/>
  <c r="AA29" i="53"/>
  <c r="W29" i="53"/>
  <c r="H29" i="53"/>
  <c r="G29" i="53"/>
  <c r="AA28" i="53"/>
  <c r="AB28" i="54"/>
  <c r="W28" i="53"/>
  <c r="H28" i="53"/>
  <c r="G28" i="53"/>
  <c r="AA27" i="53"/>
  <c r="W27" i="53"/>
  <c r="H27" i="53"/>
  <c r="G27" i="53"/>
  <c r="AA26" i="53"/>
  <c r="AB26" i="54"/>
  <c r="W26" i="53"/>
  <c r="H26" i="53"/>
  <c r="G26" i="53"/>
  <c r="AA25" i="53"/>
  <c r="W25" i="53"/>
  <c r="H25" i="53"/>
  <c r="G25" i="53"/>
  <c r="AA24" i="53"/>
  <c r="AB24" i="54"/>
  <c r="W24" i="53"/>
  <c r="H24" i="53"/>
  <c r="G24" i="53"/>
  <c r="AA23" i="53"/>
  <c r="W23" i="53"/>
  <c r="H23" i="53"/>
  <c r="G23" i="53"/>
  <c r="AA22" i="53"/>
  <c r="AB22" i="54"/>
  <c r="W22" i="53"/>
  <c r="H22" i="53"/>
  <c r="G22" i="53"/>
  <c r="AA21" i="53"/>
  <c r="W21" i="53"/>
  <c r="H21" i="53"/>
  <c r="G21" i="53"/>
  <c r="AA20" i="53"/>
  <c r="AB20" i="54" s="1"/>
  <c r="W20" i="53"/>
  <c r="H20" i="53"/>
  <c r="G20" i="53"/>
  <c r="AA19" i="53"/>
  <c r="W19" i="53"/>
  <c r="H19" i="53"/>
  <c r="G19" i="53"/>
  <c r="AA18" i="53"/>
  <c r="AB18" i="54" s="1"/>
  <c r="W18" i="53"/>
  <c r="H18" i="53"/>
  <c r="G18" i="53"/>
  <c r="AA17" i="53"/>
  <c r="W17" i="53"/>
  <c r="H17" i="53"/>
  <c r="G17" i="53"/>
  <c r="AA16" i="53"/>
  <c r="AB16" i="54"/>
  <c r="W16" i="53"/>
  <c r="H16" i="53"/>
  <c r="G16" i="53"/>
  <c r="AA15" i="53"/>
  <c r="W15" i="53"/>
  <c r="W68" i="53" s="1"/>
  <c r="H15" i="53"/>
  <c r="G15" i="53"/>
  <c r="AA14" i="53"/>
  <c r="AB14" i="54"/>
  <c r="W14" i="53"/>
  <c r="H14" i="53"/>
  <c r="G14" i="53"/>
  <c r="AA13" i="53"/>
  <c r="W13" i="53"/>
  <c r="H13" i="53"/>
  <c r="G13" i="53"/>
  <c r="AA12" i="53"/>
  <c r="W12" i="53"/>
  <c r="H12" i="53"/>
  <c r="G12" i="53"/>
  <c r="H11" i="53"/>
  <c r="G11" i="53"/>
  <c r="H10" i="53"/>
  <c r="G10" i="53"/>
  <c r="H9" i="53"/>
  <c r="G9" i="53"/>
  <c r="H8" i="53"/>
  <c r="G8" i="53"/>
  <c r="G7" i="53"/>
  <c r="V5" i="53"/>
  <c r="U83" i="53"/>
  <c r="V3" i="53"/>
  <c r="U81" i="53" s="1"/>
  <c r="O3" i="53"/>
  <c r="E3" i="53"/>
  <c r="O2" i="53"/>
  <c r="E2" i="53"/>
  <c r="AB65" i="52"/>
  <c r="O80" i="52"/>
  <c r="E80" i="52"/>
  <c r="AA78" i="52"/>
  <c r="AA67" i="52"/>
  <c r="W67" i="52"/>
  <c r="AA66" i="52"/>
  <c r="AA68" i="52" s="1"/>
  <c r="W66" i="52"/>
  <c r="AA64" i="52"/>
  <c r="W64" i="52"/>
  <c r="AA63" i="52"/>
  <c r="W63" i="52"/>
  <c r="AA62" i="52"/>
  <c r="W62" i="52"/>
  <c r="H62" i="52"/>
  <c r="G62" i="52"/>
  <c r="AA61" i="52"/>
  <c r="W61" i="52"/>
  <c r="H61" i="52"/>
  <c r="G61" i="52"/>
  <c r="AA60" i="52"/>
  <c r="W60" i="52"/>
  <c r="H60" i="52"/>
  <c r="G60" i="52"/>
  <c r="AA59" i="52"/>
  <c r="W59" i="52"/>
  <c r="H59" i="52"/>
  <c r="G59" i="52"/>
  <c r="AA58" i="52"/>
  <c r="W58" i="52"/>
  <c r="H58" i="52"/>
  <c r="G58" i="52"/>
  <c r="AA57" i="52"/>
  <c r="W57" i="52"/>
  <c r="H57" i="52"/>
  <c r="G57" i="52"/>
  <c r="AA56" i="52"/>
  <c r="W56" i="52"/>
  <c r="H56" i="52"/>
  <c r="G56" i="52"/>
  <c r="AA55" i="52"/>
  <c r="W55" i="52"/>
  <c r="H55" i="52"/>
  <c r="G55" i="52"/>
  <c r="AA54" i="52"/>
  <c r="W54" i="52"/>
  <c r="H54" i="52"/>
  <c r="G54" i="52"/>
  <c r="AA53" i="52"/>
  <c r="W53" i="52"/>
  <c r="H53" i="52"/>
  <c r="G53" i="52"/>
  <c r="AA52" i="52"/>
  <c r="W52" i="52"/>
  <c r="H52" i="52"/>
  <c r="G52" i="52"/>
  <c r="AA51" i="52"/>
  <c r="W51" i="52"/>
  <c r="H51" i="52"/>
  <c r="G51" i="52"/>
  <c r="AA50" i="52"/>
  <c r="W50" i="52"/>
  <c r="H50" i="52"/>
  <c r="G50" i="52"/>
  <c r="AA49" i="52"/>
  <c r="W49" i="52"/>
  <c r="H49" i="52"/>
  <c r="G49" i="52"/>
  <c r="H48" i="52"/>
  <c r="G48" i="52"/>
  <c r="H47" i="52"/>
  <c r="G47" i="52"/>
  <c r="AA44" i="52"/>
  <c r="W44" i="52"/>
  <c r="O44" i="52"/>
  <c r="O82" i="52" s="1"/>
  <c r="H44" i="52"/>
  <c r="G44" i="52"/>
  <c r="E44" i="52"/>
  <c r="E82" i="52" s="1"/>
  <c r="AA43" i="52"/>
  <c r="W43" i="52"/>
  <c r="H43" i="52"/>
  <c r="G43" i="52"/>
  <c r="AA42" i="52"/>
  <c r="W42" i="52"/>
  <c r="H42" i="52"/>
  <c r="G42" i="52"/>
  <c r="AA41" i="52"/>
  <c r="W41" i="52"/>
  <c r="H41" i="52"/>
  <c r="G41" i="52"/>
  <c r="AA40" i="52"/>
  <c r="W40" i="52"/>
  <c r="H40" i="52"/>
  <c r="G40" i="52"/>
  <c r="AA39" i="52"/>
  <c r="W39" i="52"/>
  <c r="H39" i="52"/>
  <c r="G39" i="52"/>
  <c r="AA38" i="52"/>
  <c r="W38" i="52"/>
  <c r="H38" i="52"/>
  <c r="G38" i="52"/>
  <c r="AA37" i="52"/>
  <c r="W37" i="52"/>
  <c r="H37" i="52"/>
  <c r="G37" i="52"/>
  <c r="AA36" i="52"/>
  <c r="W36" i="52"/>
  <c r="H36" i="52"/>
  <c r="G36" i="52"/>
  <c r="AA35" i="52"/>
  <c r="W35" i="52"/>
  <c r="H35" i="52"/>
  <c r="G35" i="52"/>
  <c r="AA34" i="52"/>
  <c r="W34" i="52"/>
  <c r="H34" i="52"/>
  <c r="G34" i="52"/>
  <c r="AA33" i="52"/>
  <c r="W33" i="52"/>
  <c r="H33" i="52"/>
  <c r="G33" i="52"/>
  <c r="AA32" i="52"/>
  <c r="W32" i="52"/>
  <c r="H32" i="52"/>
  <c r="G32" i="52"/>
  <c r="AA31" i="52"/>
  <c r="W31" i="52"/>
  <c r="H31" i="52"/>
  <c r="G31" i="52"/>
  <c r="AA30" i="52"/>
  <c r="W30" i="52"/>
  <c r="H30" i="52"/>
  <c r="G30" i="52"/>
  <c r="AA29" i="52"/>
  <c r="W29" i="52"/>
  <c r="H29" i="52"/>
  <c r="G29" i="52"/>
  <c r="AA28" i="52"/>
  <c r="W28" i="52"/>
  <c r="H28" i="52"/>
  <c r="G28" i="52"/>
  <c r="AA27" i="52"/>
  <c r="W27" i="52"/>
  <c r="H27" i="52"/>
  <c r="G27" i="52"/>
  <c r="AA26" i="52"/>
  <c r="W26" i="52"/>
  <c r="H26" i="52"/>
  <c r="G26" i="52"/>
  <c r="AA25" i="52"/>
  <c r="W25" i="52"/>
  <c r="H25" i="52"/>
  <c r="G25" i="52"/>
  <c r="AA24" i="52"/>
  <c r="W24" i="52"/>
  <c r="H24" i="52"/>
  <c r="G24" i="52"/>
  <c r="AA23" i="52"/>
  <c r="W23" i="52"/>
  <c r="H23" i="52"/>
  <c r="G23" i="52"/>
  <c r="AA22" i="52"/>
  <c r="W22" i="52"/>
  <c r="H22" i="52"/>
  <c r="G22" i="52"/>
  <c r="AA21" i="52"/>
  <c r="W21" i="52"/>
  <c r="H21" i="52"/>
  <c r="G21" i="52"/>
  <c r="AA20" i="52"/>
  <c r="W20" i="52"/>
  <c r="H20" i="52"/>
  <c r="G20" i="52"/>
  <c r="AA19" i="52"/>
  <c r="W19" i="52"/>
  <c r="H19" i="52"/>
  <c r="G19" i="52"/>
  <c r="AA18" i="52"/>
  <c r="W18" i="52"/>
  <c r="H18" i="52"/>
  <c r="G18" i="52"/>
  <c r="AA17" i="52"/>
  <c r="W17" i="52"/>
  <c r="H17" i="52"/>
  <c r="G17" i="52"/>
  <c r="AA16" i="52"/>
  <c r="W16" i="52"/>
  <c r="H16" i="52"/>
  <c r="G16" i="52"/>
  <c r="AA15" i="52"/>
  <c r="W15" i="52"/>
  <c r="H15" i="52"/>
  <c r="G15" i="52"/>
  <c r="AA14" i="52"/>
  <c r="W14" i="52"/>
  <c r="H14" i="52"/>
  <c r="G14" i="52"/>
  <c r="AA13" i="52"/>
  <c r="W13" i="52"/>
  <c r="H13" i="52"/>
  <c r="G13" i="52"/>
  <c r="AA12" i="52"/>
  <c r="W12" i="52"/>
  <c r="W68" i="52" s="1"/>
  <c r="H12" i="52"/>
  <c r="G12" i="52"/>
  <c r="H11" i="52"/>
  <c r="G11" i="52"/>
  <c r="H10" i="52"/>
  <c r="G10" i="52"/>
  <c r="H9" i="52"/>
  <c r="G9" i="52"/>
  <c r="H8" i="52"/>
  <c r="G8" i="52"/>
  <c r="G7" i="52"/>
  <c r="V5" i="52"/>
  <c r="U83" i="52"/>
  <c r="V3" i="52"/>
  <c r="U81" i="52"/>
  <c r="O3" i="52"/>
  <c r="E3" i="52"/>
  <c r="O2" i="52"/>
  <c r="E2" i="52"/>
  <c r="AB65" i="51"/>
  <c r="O80" i="51"/>
  <c r="E80" i="51"/>
  <c r="AA78" i="51"/>
  <c r="AA67" i="51"/>
  <c r="W67" i="51"/>
  <c r="AA66" i="51"/>
  <c r="W66" i="51"/>
  <c r="AA64" i="51"/>
  <c r="W64" i="51"/>
  <c r="AA63" i="51"/>
  <c r="W63" i="51"/>
  <c r="AA62" i="51"/>
  <c r="W62" i="51"/>
  <c r="H62" i="51"/>
  <c r="G62" i="51"/>
  <c r="AA61" i="51"/>
  <c r="W61" i="51"/>
  <c r="H61" i="51"/>
  <c r="G61" i="51"/>
  <c r="AA60" i="51"/>
  <c r="W60" i="51"/>
  <c r="H60" i="51"/>
  <c r="G60" i="51"/>
  <c r="AA59" i="51"/>
  <c r="W59" i="51"/>
  <c r="H59" i="51"/>
  <c r="G59" i="51"/>
  <c r="AA58" i="51"/>
  <c r="W58" i="51"/>
  <c r="H58" i="51"/>
  <c r="G58" i="51"/>
  <c r="AA57" i="51"/>
  <c r="W57" i="51"/>
  <c r="H57" i="51"/>
  <c r="G57" i="51"/>
  <c r="AA56" i="51"/>
  <c r="W56" i="51"/>
  <c r="H56" i="51"/>
  <c r="G56" i="51"/>
  <c r="AA55" i="51"/>
  <c r="W55" i="51"/>
  <c r="H55" i="51"/>
  <c r="G55" i="51"/>
  <c r="AA54" i="51"/>
  <c r="W54" i="51"/>
  <c r="H54" i="51"/>
  <c r="G54" i="51"/>
  <c r="AA53" i="51"/>
  <c r="W53" i="51"/>
  <c r="H53" i="51"/>
  <c r="G53" i="51"/>
  <c r="AA52" i="51"/>
  <c r="W52" i="51"/>
  <c r="H52" i="51"/>
  <c r="G52" i="51"/>
  <c r="AA51" i="51"/>
  <c r="W51" i="51"/>
  <c r="H51" i="51"/>
  <c r="G51" i="51"/>
  <c r="AA50" i="51"/>
  <c r="W50" i="51"/>
  <c r="H50" i="51"/>
  <c r="G50" i="51"/>
  <c r="AA49" i="51"/>
  <c r="W49" i="51"/>
  <c r="H49" i="51"/>
  <c r="G49" i="51"/>
  <c r="H48" i="51"/>
  <c r="G48" i="51"/>
  <c r="H47" i="51"/>
  <c r="G47" i="51"/>
  <c r="AA44" i="51"/>
  <c r="W44" i="51"/>
  <c r="O44" i="51"/>
  <c r="O82" i="51"/>
  <c r="H44" i="51"/>
  <c r="G44" i="51"/>
  <c r="E44" i="51"/>
  <c r="E82" i="51" s="1"/>
  <c r="AA43" i="51"/>
  <c r="W43" i="51"/>
  <c r="H43" i="51"/>
  <c r="G43" i="51"/>
  <c r="AA42" i="51"/>
  <c r="W42" i="51"/>
  <c r="H42" i="51"/>
  <c r="G42" i="51"/>
  <c r="AA41" i="51"/>
  <c r="W41" i="51"/>
  <c r="H41" i="51"/>
  <c r="G41" i="51"/>
  <c r="AA40" i="51"/>
  <c r="W40" i="51"/>
  <c r="H40" i="51"/>
  <c r="G40" i="51"/>
  <c r="AA39" i="51"/>
  <c r="W39" i="51"/>
  <c r="H39" i="51"/>
  <c r="G39" i="51"/>
  <c r="AA38" i="51"/>
  <c r="W38" i="51"/>
  <c r="H38" i="51"/>
  <c r="G38" i="51"/>
  <c r="AA37" i="51"/>
  <c r="W37" i="51"/>
  <c r="H37" i="51"/>
  <c r="G37" i="51"/>
  <c r="AA36" i="51"/>
  <c r="W36" i="51"/>
  <c r="H36" i="51"/>
  <c r="G36" i="51"/>
  <c r="AA35" i="51"/>
  <c r="W35" i="51"/>
  <c r="H35" i="51"/>
  <c r="G35" i="51"/>
  <c r="AA34" i="51"/>
  <c r="W34" i="51"/>
  <c r="H34" i="51"/>
  <c r="G34" i="51"/>
  <c r="AA33" i="51"/>
  <c r="W33" i="51"/>
  <c r="H33" i="51"/>
  <c r="G33" i="51"/>
  <c r="AA32" i="51"/>
  <c r="W32" i="51"/>
  <c r="H32" i="51"/>
  <c r="G32" i="51"/>
  <c r="AA31" i="51"/>
  <c r="W31" i="51"/>
  <c r="H31" i="51"/>
  <c r="G31" i="51"/>
  <c r="AA30" i="51"/>
  <c r="W30" i="51"/>
  <c r="H30" i="51"/>
  <c r="G30" i="51"/>
  <c r="AA29" i="51"/>
  <c r="W29" i="51"/>
  <c r="H29" i="51"/>
  <c r="G29" i="51"/>
  <c r="AA28" i="51"/>
  <c r="W28" i="51"/>
  <c r="H28" i="51"/>
  <c r="G28" i="51"/>
  <c r="AA27" i="51"/>
  <c r="W27" i="51"/>
  <c r="H27" i="51"/>
  <c r="G27" i="51"/>
  <c r="AA26" i="51"/>
  <c r="W26" i="51"/>
  <c r="H26" i="51"/>
  <c r="G26" i="51"/>
  <c r="AA25" i="51"/>
  <c r="W25" i="51"/>
  <c r="H25" i="51"/>
  <c r="G25" i="51"/>
  <c r="AA24" i="51"/>
  <c r="W24" i="51"/>
  <c r="H24" i="51"/>
  <c r="G24" i="51"/>
  <c r="AA23" i="51"/>
  <c r="W23" i="51"/>
  <c r="H23" i="51"/>
  <c r="G23" i="51"/>
  <c r="AA22" i="51"/>
  <c r="W22" i="51"/>
  <c r="H22" i="51"/>
  <c r="G22" i="51"/>
  <c r="AA21" i="51"/>
  <c r="W21" i="51"/>
  <c r="H21" i="51"/>
  <c r="G21" i="51"/>
  <c r="AA20" i="51"/>
  <c r="W20" i="51"/>
  <c r="H20" i="51"/>
  <c r="G20" i="51"/>
  <c r="AA19" i="51"/>
  <c r="W19" i="51"/>
  <c r="H19" i="51"/>
  <c r="G19" i="51"/>
  <c r="AA18" i="51"/>
  <c r="W18" i="51"/>
  <c r="H18" i="51"/>
  <c r="G18" i="51"/>
  <c r="AA17" i="51"/>
  <c r="W17" i="51"/>
  <c r="H17" i="51"/>
  <c r="G17" i="51"/>
  <c r="AA16" i="51"/>
  <c r="W16" i="51"/>
  <c r="H16" i="51"/>
  <c r="G16" i="51"/>
  <c r="AA15" i="51"/>
  <c r="W15" i="51"/>
  <c r="H15" i="51"/>
  <c r="G15" i="51"/>
  <c r="AA14" i="51"/>
  <c r="W14" i="51"/>
  <c r="H14" i="51"/>
  <c r="G14" i="51"/>
  <c r="AA13" i="51"/>
  <c r="W13" i="51"/>
  <c r="H13" i="51"/>
  <c r="G13" i="51"/>
  <c r="AA12" i="51"/>
  <c r="W12" i="51"/>
  <c r="W68" i="51" s="1"/>
  <c r="H12" i="51"/>
  <c r="G12" i="51"/>
  <c r="H11" i="51"/>
  <c r="G11" i="51"/>
  <c r="H10" i="51"/>
  <c r="G10" i="51"/>
  <c r="H9" i="51"/>
  <c r="G9" i="51"/>
  <c r="H8" i="51"/>
  <c r="G8" i="51"/>
  <c r="G7" i="51"/>
  <c r="V5" i="51"/>
  <c r="U83" i="51"/>
  <c r="V3" i="51"/>
  <c r="U81" i="51"/>
  <c r="O3" i="51"/>
  <c r="E3" i="51"/>
  <c r="O2" i="51"/>
  <c r="E2" i="51"/>
  <c r="AB65" i="50"/>
  <c r="AB65" i="49"/>
  <c r="O80" i="50"/>
  <c r="E80" i="50"/>
  <c r="AA78" i="50"/>
  <c r="AA67" i="50"/>
  <c r="W67" i="50"/>
  <c r="AA66" i="50"/>
  <c r="W66" i="50"/>
  <c r="AA64" i="50"/>
  <c r="W64" i="50"/>
  <c r="AA63" i="50"/>
  <c r="W63" i="50"/>
  <c r="AA62" i="50"/>
  <c r="W62" i="50"/>
  <c r="H62" i="50"/>
  <c r="G62" i="50"/>
  <c r="AA61" i="50"/>
  <c r="W61" i="50"/>
  <c r="H61" i="50"/>
  <c r="G61" i="50"/>
  <c r="AA60" i="50"/>
  <c r="W60" i="50"/>
  <c r="H60" i="50"/>
  <c r="G60" i="50"/>
  <c r="AA59" i="50"/>
  <c r="W59" i="50"/>
  <c r="H59" i="50"/>
  <c r="G59" i="50"/>
  <c r="AA58" i="50"/>
  <c r="W58" i="50"/>
  <c r="H58" i="50"/>
  <c r="G58" i="50"/>
  <c r="AA57" i="50"/>
  <c r="W57" i="50"/>
  <c r="H57" i="50"/>
  <c r="G57" i="50"/>
  <c r="AA56" i="50"/>
  <c r="W56" i="50"/>
  <c r="H56" i="50"/>
  <c r="G56" i="50"/>
  <c r="AA55" i="50"/>
  <c r="W55" i="50"/>
  <c r="H55" i="50"/>
  <c r="G55" i="50"/>
  <c r="AA54" i="50"/>
  <c r="W54" i="50"/>
  <c r="H54" i="50"/>
  <c r="G54" i="50"/>
  <c r="AA53" i="50"/>
  <c r="W53" i="50"/>
  <c r="H53" i="50"/>
  <c r="G53" i="50"/>
  <c r="AA52" i="50"/>
  <c r="W52" i="50"/>
  <c r="H52" i="50"/>
  <c r="G52" i="50"/>
  <c r="AA51" i="50"/>
  <c r="W51" i="50"/>
  <c r="H51" i="50"/>
  <c r="G51" i="50"/>
  <c r="AA50" i="50"/>
  <c r="W50" i="50"/>
  <c r="H50" i="50"/>
  <c r="G50" i="50"/>
  <c r="AA49" i="50"/>
  <c r="W49" i="50"/>
  <c r="H49" i="50"/>
  <c r="G49" i="50"/>
  <c r="H48" i="50"/>
  <c r="G48" i="50"/>
  <c r="H47" i="50"/>
  <c r="G47" i="50"/>
  <c r="AA44" i="50"/>
  <c r="W44" i="50"/>
  <c r="O44" i="50"/>
  <c r="O82" i="50" s="1"/>
  <c r="H44" i="50"/>
  <c r="G44" i="50"/>
  <c r="E44" i="50"/>
  <c r="E82" i="50"/>
  <c r="AA43" i="50"/>
  <c r="W43" i="50"/>
  <c r="H43" i="50"/>
  <c r="G43" i="50"/>
  <c r="AA42" i="50"/>
  <c r="W42" i="50"/>
  <c r="H42" i="50"/>
  <c r="G42" i="50"/>
  <c r="AA41" i="50"/>
  <c r="W41" i="50"/>
  <c r="H41" i="50"/>
  <c r="G41" i="50"/>
  <c r="AA40" i="50"/>
  <c r="W40" i="50"/>
  <c r="H40" i="50"/>
  <c r="G40" i="50"/>
  <c r="AA39" i="50"/>
  <c r="W39" i="50"/>
  <c r="H39" i="50"/>
  <c r="G39" i="50"/>
  <c r="AA38" i="50"/>
  <c r="W38" i="50"/>
  <c r="H38" i="50"/>
  <c r="G38" i="50"/>
  <c r="AA37" i="50"/>
  <c r="W37" i="50"/>
  <c r="H37" i="50"/>
  <c r="G37" i="50"/>
  <c r="AA36" i="50"/>
  <c r="W36" i="50"/>
  <c r="H36" i="50"/>
  <c r="G36" i="50"/>
  <c r="AA35" i="50"/>
  <c r="W35" i="50"/>
  <c r="H35" i="50"/>
  <c r="G35" i="50"/>
  <c r="AA34" i="50"/>
  <c r="W34" i="50"/>
  <c r="H34" i="50"/>
  <c r="G34" i="50"/>
  <c r="AA33" i="50"/>
  <c r="W33" i="50"/>
  <c r="H33" i="50"/>
  <c r="G33" i="50"/>
  <c r="AA32" i="50"/>
  <c r="W32" i="50"/>
  <c r="H32" i="50"/>
  <c r="G32" i="50"/>
  <c r="AA31" i="50"/>
  <c r="W31" i="50"/>
  <c r="H31" i="50"/>
  <c r="G31" i="50"/>
  <c r="AA30" i="50"/>
  <c r="W30" i="50"/>
  <c r="H30" i="50"/>
  <c r="G30" i="50"/>
  <c r="AA29" i="50"/>
  <c r="W29" i="50"/>
  <c r="H29" i="50"/>
  <c r="G29" i="50"/>
  <c r="AA28" i="50"/>
  <c r="W28" i="50"/>
  <c r="H28" i="50"/>
  <c r="G28" i="50"/>
  <c r="AA27" i="50"/>
  <c r="W27" i="50"/>
  <c r="H27" i="50"/>
  <c r="G27" i="50"/>
  <c r="AA26" i="50"/>
  <c r="W26" i="50"/>
  <c r="H26" i="50"/>
  <c r="G26" i="50"/>
  <c r="AA25" i="50"/>
  <c r="W25" i="50"/>
  <c r="H25" i="50"/>
  <c r="G25" i="50"/>
  <c r="AA24" i="50"/>
  <c r="W24" i="50"/>
  <c r="H24" i="50"/>
  <c r="G24" i="50"/>
  <c r="AA23" i="50"/>
  <c r="W23" i="50"/>
  <c r="H23" i="50"/>
  <c r="G23" i="50"/>
  <c r="AA22" i="50"/>
  <c r="W22" i="50"/>
  <c r="H22" i="50"/>
  <c r="G22" i="50"/>
  <c r="AA21" i="50"/>
  <c r="W21" i="50"/>
  <c r="H21" i="50"/>
  <c r="G21" i="50"/>
  <c r="AA20" i="50"/>
  <c r="W20" i="50"/>
  <c r="H20" i="50"/>
  <c r="G20" i="50"/>
  <c r="AA19" i="50"/>
  <c r="W19" i="50"/>
  <c r="H19" i="50"/>
  <c r="G19" i="50"/>
  <c r="AA18" i="50"/>
  <c r="W18" i="50"/>
  <c r="H18" i="50"/>
  <c r="G18" i="50"/>
  <c r="AA17" i="50"/>
  <c r="W17" i="50"/>
  <c r="H17" i="50"/>
  <c r="G17" i="50"/>
  <c r="AA16" i="50"/>
  <c r="W16" i="50"/>
  <c r="H16" i="50"/>
  <c r="G16" i="50"/>
  <c r="AA15" i="50"/>
  <c r="W15" i="50"/>
  <c r="H15" i="50"/>
  <c r="G15" i="50"/>
  <c r="AA14" i="50"/>
  <c r="W14" i="50"/>
  <c r="H14" i="50"/>
  <c r="G14" i="50"/>
  <c r="AA13" i="50"/>
  <c r="W13" i="50"/>
  <c r="H13" i="50"/>
  <c r="G13" i="50"/>
  <c r="AA12" i="50"/>
  <c r="W12" i="50"/>
  <c r="W68" i="50"/>
  <c r="H12" i="50"/>
  <c r="G12" i="50"/>
  <c r="H11" i="50"/>
  <c r="G11" i="50"/>
  <c r="H10" i="50"/>
  <c r="G10" i="50"/>
  <c r="H9" i="50"/>
  <c r="G9" i="50"/>
  <c r="H8" i="50"/>
  <c r="G8" i="50"/>
  <c r="G7" i="50"/>
  <c r="V5" i="50"/>
  <c r="U83" i="50"/>
  <c r="V3" i="50"/>
  <c r="U81" i="50"/>
  <c r="O3" i="50"/>
  <c r="E3" i="50"/>
  <c r="O2" i="50"/>
  <c r="E2" i="50"/>
  <c r="V18" i="18"/>
  <c r="V18" i="19"/>
  <c r="V18" i="20"/>
  <c r="V18" i="21"/>
  <c r="V18" i="22"/>
  <c r="V18" i="23"/>
  <c r="O80" i="49"/>
  <c r="E80" i="49"/>
  <c r="AA78" i="49"/>
  <c r="AA67" i="49"/>
  <c r="AB67" i="50"/>
  <c r="W67" i="49"/>
  <c r="AA66" i="49"/>
  <c r="W66" i="49"/>
  <c r="AA64" i="49"/>
  <c r="W64" i="49"/>
  <c r="AA63" i="49"/>
  <c r="W63" i="49"/>
  <c r="AA62" i="49"/>
  <c r="W62" i="49"/>
  <c r="H62" i="49"/>
  <c r="G62" i="49"/>
  <c r="AA61" i="49"/>
  <c r="W61" i="49"/>
  <c r="H61" i="49"/>
  <c r="G61" i="49"/>
  <c r="AA60" i="49"/>
  <c r="W60" i="49"/>
  <c r="H60" i="49"/>
  <c r="G60" i="49"/>
  <c r="AA59" i="49"/>
  <c r="W59" i="49"/>
  <c r="H59" i="49"/>
  <c r="G59" i="49"/>
  <c r="AA58" i="49"/>
  <c r="W58" i="49"/>
  <c r="H58" i="49"/>
  <c r="G58" i="49"/>
  <c r="AA57" i="49"/>
  <c r="W57" i="49"/>
  <c r="H57" i="49"/>
  <c r="G57" i="49"/>
  <c r="AA56" i="49"/>
  <c r="W56" i="49"/>
  <c r="H56" i="49"/>
  <c r="G56" i="49"/>
  <c r="AA55" i="49"/>
  <c r="W55" i="49"/>
  <c r="H55" i="49"/>
  <c r="G55" i="49"/>
  <c r="AA54" i="49"/>
  <c r="W54" i="49"/>
  <c r="H54" i="49"/>
  <c r="G54" i="49"/>
  <c r="AA53" i="49"/>
  <c r="W53" i="49"/>
  <c r="H53" i="49"/>
  <c r="G53" i="49"/>
  <c r="AA52" i="49"/>
  <c r="W52" i="49"/>
  <c r="H52" i="49"/>
  <c r="G52" i="49"/>
  <c r="AA51" i="49"/>
  <c r="W51" i="49"/>
  <c r="H51" i="49"/>
  <c r="G51" i="49"/>
  <c r="AA50" i="49"/>
  <c r="W50" i="49"/>
  <c r="H50" i="49"/>
  <c r="G50" i="49"/>
  <c r="AA49" i="49"/>
  <c r="W49" i="49"/>
  <c r="H49" i="49"/>
  <c r="G49" i="49"/>
  <c r="H48" i="49"/>
  <c r="G48" i="49"/>
  <c r="H47" i="49"/>
  <c r="G47" i="49"/>
  <c r="AA44" i="49"/>
  <c r="W44" i="49"/>
  <c r="O44" i="49"/>
  <c r="O82" i="49"/>
  <c r="H44" i="49"/>
  <c r="G44" i="49"/>
  <c r="E44" i="49"/>
  <c r="E82" i="49" s="1"/>
  <c r="AA43" i="49"/>
  <c r="W43" i="49"/>
  <c r="H43" i="49"/>
  <c r="G43" i="49"/>
  <c r="AA42" i="49"/>
  <c r="W42" i="49"/>
  <c r="H42" i="49"/>
  <c r="G42" i="49"/>
  <c r="AA41" i="49"/>
  <c r="W41" i="49"/>
  <c r="H41" i="49"/>
  <c r="G41" i="49"/>
  <c r="AA40" i="49"/>
  <c r="W40" i="49"/>
  <c r="H40" i="49"/>
  <c r="G40" i="49"/>
  <c r="AA39" i="49"/>
  <c r="W39" i="49"/>
  <c r="H39" i="49"/>
  <c r="G39" i="49"/>
  <c r="AA38" i="49"/>
  <c r="W38" i="49"/>
  <c r="H38" i="49"/>
  <c r="G38" i="49"/>
  <c r="AA37" i="49"/>
  <c r="W37" i="49"/>
  <c r="H37" i="49"/>
  <c r="G37" i="49"/>
  <c r="AA36" i="49"/>
  <c r="W36" i="49"/>
  <c r="H36" i="49"/>
  <c r="G36" i="49"/>
  <c r="AA35" i="49"/>
  <c r="W35" i="49"/>
  <c r="H35" i="49"/>
  <c r="G35" i="49"/>
  <c r="AA34" i="49"/>
  <c r="W34" i="49"/>
  <c r="H34" i="49"/>
  <c r="G34" i="49"/>
  <c r="AA33" i="49"/>
  <c r="W33" i="49"/>
  <c r="H33" i="49"/>
  <c r="G33" i="49"/>
  <c r="AA32" i="49"/>
  <c r="W32" i="49"/>
  <c r="H32" i="49"/>
  <c r="G32" i="49"/>
  <c r="AA31" i="49"/>
  <c r="W31" i="49"/>
  <c r="H31" i="49"/>
  <c r="G31" i="49"/>
  <c r="AA30" i="49"/>
  <c r="W30" i="49"/>
  <c r="H30" i="49"/>
  <c r="G30" i="49"/>
  <c r="AA29" i="49"/>
  <c r="W29" i="49"/>
  <c r="H29" i="49"/>
  <c r="G29" i="49"/>
  <c r="AA28" i="49"/>
  <c r="W28" i="49"/>
  <c r="H28" i="49"/>
  <c r="G28" i="49"/>
  <c r="AA27" i="49"/>
  <c r="W27" i="49"/>
  <c r="H27" i="49"/>
  <c r="G27" i="49"/>
  <c r="AA26" i="49"/>
  <c r="W26" i="49"/>
  <c r="H26" i="49"/>
  <c r="G26" i="49"/>
  <c r="AA25" i="49"/>
  <c r="W25" i="49"/>
  <c r="H25" i="49"/>
  <c r="G25" i="49"/>
  <c r="AA24" i="49"/>
  <c r="W24" i="49"/>
  <c r="H24" i="49"/>
  <c r="G24" i="49"/>
  <c r="AA23" i="49"/>
  <c r="W23" i="49"/>
  <c r="H23" i="49"/>
  <c r="G23" i="49"/>
  <c r="AA22" i="49"/>
  <c r="W22" i="49"/>
  <c r="H22" i="49"/>
  <c r="G22" i="49"/>
  <c r="AA21" i="49"/>
  <c r="W21" i="49"/>
  <c r="H21" i="49"/>
  <c r="G21" i="49"/>
  <c r="AA20" i="49"/>
  <c r="W20" i="49"/>
  <c r="H20" i="49"/>
  <c r="G20" i="49"/>
  <c r="AA19" i="49"/>
  <c r="W19" i="49"/>
  <c r="H19" i="49"/>
  <c r="G19" i="49"/>
  <c r="AA18" i="49"/>
  <c r="W18" i="49"/>
  <c r="H18" i="49"/>
  <c r="G18" i="49"/>
  <c r="AA17" i="49"/>
  <c r="W17" i="49"/>
  <c r="H17" i="49"/>
  <c r="G17" i="49"/>
  <c r="AA16" i="49"/>
  <c r="W16" i="49"/>
  <c r="H16" i="49"/>
  <c r="G16" i="49"/>
  <c r="AA15" i="49"/>
  <c r="W15" i="49"/>
  <c r="H15" i="49"/>
  <c r="G15" i="49"/>
  <c r="AA14" i="49"/>
  <c r="W14" i="49"/>
  <c r="H14" i="49"/>
  <c r="G14" i="49"/>
  <c r="AA13" i="49"/>
  <c r="W13" i="49"/>
  <c r="H13" i="49"/>
  <c r="G13" i="49"/>
  <c r="AA12" i="49"/>
  <c r="W12" i="49"/>
  <c r="W68" i="49"/>
  <c r="H12" i="49"/>
  <c r="G12" i="49"/>
  <c r="H11" i="49"/>
  <c r="G11" i="49"/>
  <c r="H10" i="49"/>
  <c r="G10" i="49"/>
  <c r="H9" i="49"/>
  <c r="G9" i="49"/>
  <c r="H8" i="49"/>
  <c r="G8" i="49"/>
  <c r="G7" i="49"/>
  <c r="V5" i="49"/>
  <c r="U83" i="49"/>
  <c r="V3" i="49"/>
  <c r="U81" i="49"/>
  <c r="O3" i="49"/>
  <c r="E3" i="49"/>
  <c r="O2" i="49"/>
  <c r="E2" i="49"/>
  <c r="AB65" i="48"/>
  <c r="O80" i="48"/>
  <c r="E80" i="48"/>
  <c r="AA78" i="48"/>
  <c r="AA67" i="48"/>
  <c r="W67" i="48"/>
  <c r="AA66" i="48"/>
  <c r="W66" i="48"/>
  <c r="AA64" i="48"/>
  <c r="W64" i="48"/>
  <c r="AA63" i="48"/>
  <c r="W63" i="48"/>
  <c r="AA62" i="48"/>
  <c r="W62" i="48"/>
  <c r="H62" i="48"/>
  <c r="G62" i="48"/>
  <c r="AA61" i="48"/>
  <c r="W61" i="48"/>
  <c r="H61" i="48"/>
  <c r="G61" i="48"/>
  <c r="AA60" i="48"/>
  <c r="W60" i="48"/>
  <c r="H60" i="48"/>
  <c r="G60" i="48"/>
  <c r="AA59" i="48"/>
  <c r="W59" i="48"/>
  <c r="H59" i="48"/>
  <c r="G59" i="48"/>
  <c r="AA58" i="48"/>
  <c r="W58" i="48"/>
  <c r="H58" i="48"/>
  <c r="G58" i="48"/>
  <c r="AA57" i="48"/>
  <c r="W57" i="48"/>
  <c r="H57" i="48"/>
  <c r="G57" i="48"/>
  <c r="AA56" i="48"/>
  <c r="W56" i="48"/>
  <c r="H56" i="48"/>
  <c r="G56" i="48"/>
  <c r="AA55" i="48"/>
  <c r="W55" i="48"/>
  <c r="H55" i="48"/>
  <c r="G55" i="48"/>
  <c r="AA54" i="48"/>
  <c r="W54" i="48"/>
  <c r="H54" i="48"/>
  <c r="G54" i="48"/>
  <c r="AA53" i="48"/>
  <c r="W53" i="48"/>
  <c r="H53" i="48"/>
  <c r="G53" i="48"/>
  <c r="AA52" i="48"/>
  <c r="W52" i="48"/>
  <c r="H52" i="48"/>
  <c r="G52" i="48"/>
  <c r="AA51" i="48"/>
  <c r="W51" i="48"/>
  <c r="H51" i="48"/>
  <c r="G51" i="48"/>
  <c r="AA50" i="48"/>
  <c r="W50" i="48"/>
  <c r="H50" i="48"/>
  <c r="G50" i="48"/>
  <c r="AA49" i="48"/>
  <c r="W49" i="48"/>
  <c r="H49" i="48"/>
  <c r="G49" i="48"/>
  <c r="H48" i="48"/>
  <c r="G48" i="48"/>
  <c r="H47" i="48"/>
  <c r="G47" i="48"/>
  <c r="AA44" i="48"/>
  <c r="W44" i="48"/>
  <c r="O44" i="48"/>
  <c r="O82" i="48"/>
  <c r="H44" i="48"/>
  <c r="G44" i="48"/>
  <c r="E44" i="48"/>
  <c r="E82" i="48" s="1"/>
  <c r="AA43" i="48"/>
  <c r="W43" i="48"/>
  <c r="H43" i="48"/>
  <c r="G43" i="48"/>
  <c r="AA42" i="48"/>
  <c r="W42" i="48"/>
  <c r="H42" i="48"/>
  <c r="G42" i="48"/>
  <c r="AA41" i="48"/>
  <c r="W41" i="48"/>
  <c r="H41" i="48"/>
  <c r="G41" i="48"/>
  <c r="AA40" i="48"/>
  <c r="W40" i="48"/>
  <c r="H40" i="48"/>
  <c r="G40" i="48"/>
  <c r="AA39" i="48"/>
  <c r="W39" i="48"/>
  <c r="H39" i="48"/>
  <c r="G39" i="48"/>
  <c r="AA38" i="48"/>
  <c r="W38" i="48"/>
  <c r="H38" i="48"/>
  <c r="G38" i="48"/>
  <c r="AA37" i="48"/>
  <c r="W37" i="48"/>
  <c r="H37" i="48"/>
  <c r="G37" i="48"/>
  <c r="AA36" i="48"/>
  <c r="W36" i="48"/>
  <c r="H36" i="48"/>
  <c r="G36" i="48"/>
  <c r="AA35" i="48"/>
  <c r="W35" i="48"/>
  <c r="H35" i="48"/>
  <c r="G35" i="48"/>
  <c r="AA34" i="48"/>
  <c r="W34" i="48"/>
  <c r="H34" i="48"/>
  <c r="G34" i="48"/>
  <c r="AA33" i="48"/>
  <c r="W33" i="48"/>
  <c r="H33" i="48"/>
  <c r="G33" i="48"/>
  <c r="AA32" i="48"/>
  <c r="W32" i="48"/>
  <c r="H32" i="48"/>
  <c r="G32" i="48"/>
  <c r="AA31" i="48"/>
  <c r="W31" i="48"/>
  <c r="H31" i="48"/>
  <c r="G31" i="48"/>
  <c r="AA30" i="48"/>
  <c r="W30" i="48"/>
  <c r="H30" i="48"/>
  <c r="G30" i="48"/>
  <c r="AA29" i="48"/>
  <c r="W29" i="48"/>
  <c r="H29" i="48"/>
  <c r="G29" i="48"/>
  <c r="AA28" i="48"/>
  <c r="W28" i="48"/>
  <c r="H28" i="48"/>
  <c r="G28" i="48"/>
  <c r="AA27" i="48"/>
  <c r="W27" i="48"/>
  <c r="H27" i="48"/>
  <c r="G27" i="48"/>
  <c r="AA26" i="48"/>
  <c r="W26" i="48"/>
  <c r="H26" i="48"/>
  <c r="G26" i="48"/>
  <c r="AA25" i="48"/>
  <c r="W25" i="48"/>
  <c r="H25" i="48"/>
  <c r="G25" i="48"/>
  <c r="AA24" i="48"/>
  <c r="W24" i="48"/>
  <c r="H24" i="48"/>
  <c r="G24" i="48"/>
  <c r="AA23" i="48"/>
  <c r="W23" i="48"/>
  <c r="H23" i="48"/>
  <c r="G23" i="48"/>
  <c r="AA22" i="48"/>
  <c r="W22" i="48"/>
  <c r="H22" i="48"/>
  <c r="G22" i="48"/>
  <c r="AA21" i="48"/>
  <c r="W21" i="48"/>
  <c r="H21" i="48"/>
  <c r="G21" i="48"/>
  <c r="AA20" i="48"/>
  <c r="W20" i="48"/>
  <c r="H20" i="48"/>
  <c r="G20" i="48"/>
  <c r="AA19" i="48"/>
  <c r="W19" i="48"/>
  <c r="H19" i="48"/>
  <c r="G19" i="48"/>
  <c r="AA18" i="48"/>
  <c r="W18" i="48"/>
  <c r="H18" i="48"/>
  <c r="G18" i="48"/>
  <c r="AA17" i="48"/>
  <c r="W17" i="48"/>
  <c r="H17" i="48"/>
  <c r="G17" i="48"/>
  <c r="AA16" i="48"/>
  <c r="W16" i="48"/>
  <c r="H16" i="48"/>
  <c r="G16" i="48"/>
  <c r="AA15" i="48"/>
  <c r="W15" i="48"/>
  <c r="H15" i="48"/>
  <c r="G15" i="48"/>
  <c r="AA14" i="48"/>
  <c r="W14" i="48"/>
  <c r="H14" i="48"/>
  <c r="G14" i="48"/>
  <c r="AA13" i="48"/>
  <c r="W13" i="48"/>
  <c r="H13" i="48"/>
  <c r="G13" i="48"/>
  <c r="AA12" i="48"/>
  <c r="W12" i="48"/>
  <c r="W68" i="48" s="1"/>
  <c r="H12" i="48"/>
  <c r="G12" i="48"/>
  <c r="H11" i="48"/>
  <c r="G11" i="48"/>
  <c r="H10" i="48"/>
  <c r="G10" i="48"/>
  <c r="H9" i="48"/>
  <c r="G9" i="48"/>
  <c r="H8" i="48"/>
  <c r="G8" i="48"/>
  <c r="G7" i="48"/>
  <c r="V5" i="48"/>
  <c r="U83" i="48"/>
  <c r="V3" i="48"/>
  <c r="U81" i="48" s="1"/>
  <c r="O3" i="48"/>
  <c r="E3" i="48"/>
  <c r="O2" i="48"/>
  <c r="E2" i="48"/>
  <c r="AB65" i="47"/>
  <c r="H62" i="46"/>
  <c r="G62" i="46"/>
  <c r="H61" i="46"/>
  <c r="G61" i="46"/>
  <c r="H60" i="46"/>
  <c r="G60" i="46"/>
  <c r="H59" i="46"/>
  <c r="G59" i="46"/>
  <c r="H58" i="46"/>
  <c r="G58" i="46"/>
  <c r="H57" i="46"/>
  <c r="G57" i="46"/>
  <c r="H56" i="46"/>
  <c r="G56" i="46"/>
  <c r="H55" i="46"/>
  <c r="G55" i="46"/>
  <c r="H54" i="46"/>
  <c r="G54" i="46"/>
  <c r="H53" i="46"/>
  <c r="G53" i="46"/>
  <c r="H52" i="46"/>
  <c r="G52" i="46"/>
  <c r="H51" i="46"/>
  <c r="G51" i="46"/>
  <c r="H50" i="46"/>
  <c r="G50" i="46"/>
  <c r="H49" i="46"/>
  <c r="G49" i="46"/>
  <c r="H48" i="46"/>
  <c r="G48" i="46"/>
  <c r="H47" i="46"/>
  <c r="G47" i="46"/>
  <c r="H44" i="46"/>
  <c r="G44" i="46"/>
  <c r="H43" i="46"/>
  <c r="G43" i="46"/>
  <c r="H42" i="46"/>
  <c r="G42" i="46"/>
  <c r="H41" i="46"/>
  <c r="G41" i="46"/>
  <c r="H40" i="46"/>
  <c r="G40" i="46"/>
  <c r="H39" i="46"/>
  <c r="G39" i="46"/>
  <c r="H38" i="46"/>
  <c r="G38" i="46"/>
  <c r="H37" i="46"/>
  <c r="G37" i="46"/>
  <c r="H36" i="46"/>
  <c r="G36" i="46"/>
  <c r="H35" i="46"/>
  <c r="G35" i="46"/>
  <c r="H34" i="46"/>
  <c r="G34" i="46"/>
  <c r="H33" i="46"/>
  <c r="G33" i="46"/>
  <c r="H32" i="46"/>
  <c r="G32" i="46"/>
  <c r="H31" i="46"/>
  <c r="G31" i="46"/>
  <c r="H30" i="46"/>
  <c r="G30" i="46"/>
  <c r="H29" i="46"/>
  <c r="G29" i="46"/>
  <c r="H28" i="46"/>
  <c r="G28" i="46"/>
  <c r="H27" i="46"/>
  <c r="G27" i="46"/>
  <c r="H26" i="46"/>
  <c r="G26" i="46"/>
  <c r="H25" i="46"/>
  <c r="G25" i="46"/>
  <c r="H24" i="46"/>
  <c r="G24" i="46"/>
  <c r="H23" i="46"/>
  <c r="G23" i="46"/>
  <c r="H22" i="46"/>
  <c r="G22" i="46"/>
  <c r="H21" i="46"/>
  <c r="G21" i="46"/>
  <c r="H20" i="46"/>
  <c r="G20" i="46"/>
  <c r="H19" i="46"/>
  <c r="G19" i="46"/>
  <c r="H18" i="46"/>
  <c r="G18" i="46"/>
  <c r="H17" i="46"/>
  <c r="G17" i="46"/>
  <c r="H16" i="46"/>
  <c r="G16" i="46"/>
  <c r="H15" i="46"/>
  <c r="G15" i="46"/>
  <c r="H14" i="46"/>
  <c r="G14" i="46"/>
  <c r="H13" i="46"/>
  <c r="G13" i="46"/>
  <c r="H12" i="46"/>
  <c r="G12" i="46"/>
  <c r="H11" i="46"/>
  <c r="G11" i="46"/>
  <c r="H10" i="46"/>
  <c r="G10" i="46"/>
  <c r="H9" i="46"/>
  <c r="G9" i="46"/>
  <c r="H8" i="46"/>
  <c r="G7" i="46"/>
  <c r="H62" i="40"/>
  <c r="G62" i="40"/>
  <c r="H61" i="40"/>
  <c r="G61" i="40"/>
  <c r="H60" i="40"/>
  <c r="G60" i="40"/>
  <c r="H59" i="40"/>
  <c r="G59" i="40"/>
  <c r="H58" i="40"/>
  <c r="G58" i="40"/>
  <c r="H57" i="40"/>
  <c r="G57" i="40"/>
  <c r="H56" i="40"/>
  <c r="G56" i="40"/>
  <c r="H55" i="40"/>
  <c r="G55" i="40"/>
  <c r="H54" i="40"/>
  <c r="G54" i="40"/>
  <c r="H53" i="40"/>
  <c r="G53" i="40"/>
  <c r="H52" i="40"/>
  <c r="G52" i="40"/>
  <c r="H51" i="40"/>
  <c r="G51" i="40"/>
  <c r="H50" i="40"/>
  <c r="G50" i="40"/>
  <c r="H49" i="40"/>
  <c r="G49" i="40"/>
  <c r="H48" i="40"/>
  <c r="G48" i="40"/>
  <c r="H47" i="40"/>
  <c r="G47" i="40"/>
  <c r="H44" i="40"/>
  <c r="G44" i="40"/>
  <c r="H43" i="40"/>
  <c r="G43" i="40"/>
  <c r="H42" i="40"/>
  <c r="G42" i="40"/>
  <c r="H41" i="40"/>
  <c r="G41" i="40"/>
  <c r="H40" i="40"/>
  <c r="G40" i="40"/>
  <c r="H39" i="40"/>
  <c r="G39" i="40"/>
  <c r="H38" i="40"/>
  <c r="G38" i="40"/>
  <c r="H37" i="40"/>
  <c r="G37" i="40"/>
  <c r="H36" i="40"/>
  <c r="G36" i="40"/>
  <c r="H35" i="40"/>
  <c r="G35" i="40"/>
  <c r="H34" i="40"/>
  <c r="G34" i="40"/>
  <c r="H33" i="40"/>
  <c r="G33" i="40"/>
  <c r="H32" i="40"/>
  <c r="G32" i="40"/>
  <c r="H31" i="40"/>
  <c r="G31" i="40"/>
  <c r="H30" i="40"/>
  <c r="G30" i="40"/>
  <c r="H29" i="40"/>
  <c r="G29" i="40"/>
  <c r="H28" i="40"/>
  <c r="G28" i="40"/>
  <c r="H27" i="40"/>
  <c r="G27" i="40"/>
  <c r="H26" i="40"/>
  <c r="G26" i="40"/>
  <c r="H25" i="40"/>
  <c r="G25" i="40"/>
  <c r="H24" i="40"/>
  <c r="G24" i="40"/>
  <c r="H23" i="40"/>
  <c r="G23" i="40"/>
  <c r="H22" i="40"/>
  <c r="G22" i="40"/>
  <c r="H21" i="40"/>
  <c r="G21" i="40"/>
  <c r="H20" i="40"/>
  <c r="G20" i="40"/>
  <c r="H19" i="40"/>
  <c r="G19" i="40"/>
  <c r="H18" i="40"/>
  <c r="G18" i="40"/>
  <c r="H17" i="40"/>
  <c r="G17" i="40"/>
  <c r="H16" i="40"/>
  <c r="G16" i="40"/>
  <c r="H15" i="40"/>
  <c r="G15" i="40"/>
  <c r="H14" i="40"/>
  <c r="G14" i="40"/>
  <c r="H13" i="40"/>
  <c r="G13" i="40"/>
  <c r="H12" i="40"/>
  <c r="G12" i="40"/>
  <c r="H11" i="40"/>
  <c r="G11" i="40"/>
  <c r="H10" i="40"/>
  <c r="G10" i="40"/>
  <c r="H9" i="40"/>
  <c r="G9" i="40"/>
  <c r="H8" i="40"/>
  <c r="G7" i="40"/>
  <c r="H62" i="39"/>
  <c r="G62" i="39"/>
  <c r="H61" i="39"/>
  <c r="G61" i="39"/>
  <c r="H60" i="39"/>
  <c r="G60" i="39"/>
  <c r="G59" i="39"/>
  <c r="G58" i="39"/>
  <c r="G57" i="39"/>
  <c r="G56" i="39"/>
  <c r="G55" i="39"/>
  <c r="G54" i="39"/>
  <c r="G53" i="39"/>
  <c r="G52" i="39"/>
  <c r="G51" i="39"/>
  <c r="G50" i="39"/>
  <c r="G49" i="39"/>
  <c r="G48" i="39"/>
  <c r="G47" i="39"/>
  <c r="G44" i="39"/>
  <c r="G43" i="39"/>
  <c r="G42" i="39"/>
  <c r="G41" i="39"/>
  <c r="G40" i="39"/>
  <c r="G39" i="39"/>
  <c r="G38" i="39"/>
  <c r="G37" i="39"/>
  <c r="G36" i="39"/>
  <c r="G35" i="39"/>
  <c r="G34" i="39"/>
  <c r="G33" i="39"/>
  <c r="G32" i="39"/>
  <c r="G31" i="39"/>
  <c r="G30" i="39"/>
  <c r="G29" i="39"/>
  <c r="G28" i="39"/>
  <c r="G27" i="39"/>
  <c r="G26" i="39"/>
  <c r="G25" i="39"/>
  <c r="G24" i="39"/>
  <c r="G23" i="39"/>
  <c r="G22" i="39"/>
  <c r="G21" i="39"/>
  <c r="G20" i="39"/>
  <c r="G19" i="39"/>
  <c r="G18" i="39"/>
  <c r="G17" i="39"/>
  <c r="G16" i="39"/>
  <c r="G15" i="39"/>
  <c r="G14" i="39"/>
  <c r="G13" i="39"/>
  <c r="G12" i="39"/>
  <c r="G11" i="39"/>
  <c r="G10" i="39"/>
  <c r="G9" i="39"/>
  <c r="G7" i="39"/>
  <c r="H62" i="38"/>
  <c r="G62" i="38"/>
  <c r="H61" i="38"/>
  <c r="G61" i="38"/>
  <c r="H60" i="38"/>
  <c r="G60" i="38"/>
  <c r="G59" i="38"/>
  <c r="G58" i="38"/>
  <c r="G57" i="38"/>
  <c r="G56" i="38"/>
  <c r="G55" i="38"/>
  <c r="G54" i="38"/>
  <c r="G53" i="38"/>
  <c r="G52" i="38"/>
  <c r="G51" i="38"/>
  <c r="G50" i="38"/>
  <c r="G49" i="38"/>
  <c r="G48" i="38"/>
  <c r="G47" i="38"/>
  <c r="G44" i="38"/>
  <c r="G43" i="38"/>
  <c r="G42" i="38"/>
  <c r="G41" i="38"/>
  <c r="G40" i="38"/>
  <c r="G39" i="38"/>
  <c r="G38" i="38"/>
  <c r="G37" i="38"/>
  <c r="G36" i="38"/>
  <c r="G35" i="38"/>
  <c r="G34" i="38"/>
  <c r="G33" i="38"/>
  <c r="G32" i="38"/>
  <c r="G31" i="38"/>
  <c r="G30" i="38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10" i="38"/>
  <c r="G9" i="38"/>
  <c r="G7" i="38"/>
  <c r="H62" i="37"/>
  <c r="G62" i="37"/>
  <c r="H61" i="37"/>
  <c r="G61" i="37"/>
  <c r="H60" i="37"/>
  <c r="G60" i="37"/>
  <c r="G59" i="37"/>
  <c r="G58" i="37"/>
  <c r="G57" i="37"/>
  <c r="G56" i="37"/>
  <c r="G55" i="37"/>
  <c r="G54" i="37"/>
  <c r="G53" i="37"/>
  <c r="G52" i="37"/>
  <c r="G51" i="37"/>
  <c r="G50" i="37"/>
  <c r="G49" i="37"/>
  <c r="G48" i="37"/>
  <c r="G47" i="37"/>
  <c r="G44" i="37"/>
  <c r="G43" i="37"/>
  <c r="G42" i="37"/>
  <c r="G41" i="37"/>
  <c r="G40" i="37"/>
  <c r="G39" i="37"/>
  <c r="G38" i="37"/>
  <c r="G37" i="37"/>
  <c r="G36" i="37"/>
  <c r="G35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10" i="37"/>
  <c r="G9" i="37"/>
  <c r="G7" i="37"/>
  <c r="H62" i="36"/>
  <c r="G62" i="36"/>
  <c r="H61" i="36"/>
  <c r="G61" i="36"/>
  <c r="H60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7" i="36"/>
  <c r="H62" i="35"/>
  <c r="G62" i="35"/>
  <c r="H61" i="35"/>
  <c r="G61" i="35"/>
  <c r="H60" i="35"/>
  <c r="G60" i="35"/>
  <c r="G59" i="35"/>
  <c r="G58" i="35"/>
  <c r="G57" i="35"/>
  <c r="G56" i="35"/>
  <c r="G55" i="35"/>
  <c r="G54" i="35"/>
  <c r="G53" i="35"/>
  <c r="G52" i="35"/>
  <c r="G51" i="35"/>
  <c r="G50" i="35"/>
  <c r="G49" i="35"/>
  <c r="G48" i="35"/>
  <c r="G47" i="35"/>
  <c r="G44" i="35"/>
  <c r="G43" i="35"/>
  <c r="G42" i="35"/>
  <c r="G41" i="35"/>
  <c r="G40" i="35"/>
  <c r="G39" i="35"/>
  <c r="G38" i="35"/>
  <c r="G37" i="35"/>
  <c r="G36" i="35"/>
  <c r="G35" i="35"/>
  <c r="G34" i="35"/>
  <c r="G33" i="35"/>
  <c r="G32" i="35"/>
  <c r="G31" i="35"/>
  <c r="G30" i="35"/>
  <c r="G29" i="35"/>
  <c r="G28" i="35"/>
  <c r="G27" i="35"/>
  <c r="G26" i="35"/>
  <c r="G25" i="35"/>
  <c r="G24" i="35"/>
  <c r="G23" i="35"/>
  <c r="G22" i="35"/>
  <c r="G21" i="35"/>
  <c r="G20" i="35"/>
  <c r="G19" i="35"/>
  <c r="G18" i="35"/>
  <c r="G17" i="35"/>
  <c r="G16" i="35"/>
  <c r="G15" i="35"/>
  <c r="G14" i="35"/>
  <c r="G13" i="35"/>
  <c r="G12" i="35"/>
  <c r="G11" i="35"/>
  <c r="G10" i="35"/>
  <c r="G9" i="35"/>
  <c r="G7" i="35"/>
  <c r="H62" i="34"/>
  <c r="G62" i="34"/>
  <c r="H61" i="34"/>
  <c r="G61" i="34"/>
  <c r="H60" i="34"/>
  <c r="G60" i="34"/>
  <c r="G59" i="34"/>
  <c r="G58" i="34"/>
  <c r="G57" i="34"/>
  <c r="G56" i="34"/>
  <c r="G55" i="34"/>
  <c r="G54" i="34"/>
  <c r="G53" i="34"/>
  <c r="G52" i="34"/>
  <c r="G51" i="34"/>
  <c r="G50" i="34"/>
  <c r="G49" i="34"/>
  <c r="G48" i="34"/>
  <c r="G47" i="34"/>
  <c r="G44" i="34"/>
  <c r="G43" i="34"/>
  <c r="G42" i="34"/>
  <c r="G41" i="34"/>
  <c r="G40" i="34"/>
  <c r="G39" i="34"/>
  <c r="G38" i="34"/>
  <c r="G37" i="34"/>
  <c r="G36" i="34"/>
  <c r="G35" i="34"/>
  <c r="G34" i="34"/>
  <c r="G33" i="34"/>
  <c r="G32" i="34"/>
  <c r="G31" i="34"/>
  <c r="G30" i="34"/>
  <c r="G29" i="34"/>
  <c r="G28" i="34"/>
  <c r="G27" i="34"/>
  <c r="G26" i="34"/>
  <c r="G25" i="34"/>
  <c r="G24" i="34"/>
  <c r="G23" i="34"/>
  <c r="G22" i="34"/>
  <c r="G21" i="34"/>
  <c r="G20" i="34"/>
  <c r="G19" i="34"/>
  <c r="G18" i="34"/>
  <c r="G17" i="34"/>
  <c r="G16" i="34"/>
  <c r="G15" i="34"/>
  <c r="G14" i="34"/>
  <c r="G13" i="34"/>
  <c r="G12" i="34"/>
  <c r="G11" i="34"/>
  <c r="G10" i="34"/>
  <c r="G9" i="34"/>
  <c r="G7" i="34"/>
  <c r="H62" i="33"/>
  <c r="G62" i="33"/>
  <c r="H61" i="33"/>
  <c r="G61" i="33"/>
  <c r="H60" i="33"/>
  <c r="G60" i="33"/>
  <c r="G59" i="33"/>
  <c r="G58" i="33"/>
  <c r="G57" i="33"/>
  <c r="G56" i="33"/>
  <c r="G55" i="33"/>
  <c r="G54" i="33"/>
  <c r="G53" i="33"/>
  <c r="G52" i="33"/>
  <c r="G51" i="33"/>
  <c r="G50" i="33"/>
  <c r="G49" i="33"/>
  <c r="G48" i="33"/>
  <c r="G47" i="33"/>
  <c r="G44" i="33"/>
  <c r="G43" i="33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G7" i="33"/>
  <c r="H62" i="32"/>
  <c r="G62" i="32"/>
  <c r="H61" i="32"/>
  <c r="G61" i="32"/>
  <c r="H60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G48" i="32"/>
  <c r="G47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1" i="32"/>
  <c r="G10" i="32"/>
  <c r="G9" i="32"/>
  <c r="G7" i="32"/>
  <c r="H62" i="31"/>
  <c r="G62" i="31"/>
  <c r="H61" i="31"/>
  <c r="G61" i="31"/>
  <c r="H60" i="31"/>
  <c r="G60" i="31"/>
  <c r="G59" i="31"/>
  <c r="G58" i="31"/>
  <c r="G57" i="31"/>
  <c r="G56" i="31"/>
  <c r="G55" i="31"/>
  <c r="G54" i="31"/>
  <c r="G53" i="31"/>
  <c r="G52" i="31"/>
  <c r="G51" i="31"/>
  <c r="G50" i="31"/>
  <c r="G49" i="31"/>
  <c r="G48" i="31"/>
  <c r="G47" i="31"/>
  <c r="G44" i="31"/>
  <c r="G43" i="31"/>
  <c r="G42" i="31"/>
  <c r="G41" i="31"/>
  <c r="G40" i="31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9" i="31"/>
  <c r="G7" i="31"/>
  <c r="H62" i="30"/>
  <c r="G62" i="30"/>
  <c r="H61" i="30"/>
  <c r="G61" i="30"/>
  <c r="H60" i="30"/>
  <c r="G60" i="30"/>
  <c r="G59" i="30"/>
  <c r="G58" i="30"/>
  <c r="G57" i="30"/>
  <c r="G56" i="30"/>
  <c r="G55" i="30"/>
  <c r="G54" i="30"/>
  <c r="G53" i="30"/>
  <c r="G52" i="30"/>
  <c r="G51" i="30"/>
  <c r="G50" i="30"/>
  <c r="G49" i="30"/>
  <c r="G48" i="30"/>
  <c r="G47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7" i="30"/>
  <c r="H62" i="29"/>
  <c r="G62" i="29"/>
  <c r="H61" i="29"/>
  <c r="G61" i="29"/>
  <c r="H60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7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7" i="29"/>
  <c r="H62" i="28"/>
  <c r="G62" i="28"/>
  <c r="H61" i="28"/>
  <c r="G61" i="28"/>
  <c r="H60" i="28"/>
  <c r="G60" i="28"/>
  <c r="G59" i="28"/>
  <c r="G58" i="28"/>
  <c r="G57" i="28"/>
  <c r="G56" i="28"/>
  <c r="G55" i="28"/>
  <c r="G54" i="28"/>
  <c r="G53" i="28"/>
  <c r="G52" i="28"/>
  <c r="G51" i="28"/>
  <c r="G50" i="28"/>
  <c r="G49" i="28"/>
  <c r="G48" i="28"/>
  <c r="G47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G9" i="28"/>
  <c r="G7" i="28"/>
  <c r="H62" i="27"/>
  <c r="G62" i="27"/>
  <c r="H61" i="27"/>
  <c r="G61" i="27"/>
  <c r="H60" i="27"/>
  <c r="G60" i="27"/>
  <c r="G59" i="27"/>
  <c r="G58" i="27"/>
  <c r="G57" i="27"/>
  <c r="G56" i="27"/>
  <c r="G55" i="27"/>
  <c r="G54" i="27"/>
  <c r="G53" i="27"/>
  <c r="G52" i="27"/>
  <c r="G51" i="27"/>
  <c r="G50" i="27"/>
  <c r="G49" i="27"/>
  <c r="G48" i="27"/>
  <c r="G47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7" i="27"/>
  <c r="H62" i="26"/>
  <c r="G62" i="26"/>
  <c r="H61" i="26"/>
  <c r="G61" i="26"/>
  <c r="H60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7" i="26"/>
  <c r="H62" i="25"/>
  <c r="G62" i="25"/>
  <c r="H61" i="25"/>
  <c r="G61" i="25"/>
  <c r="H60" i="25"/>
  <c r="G60" i="25"/>
  <c r="G59" i="25"/>
  <c r="G58" i="25"/>
  <c r="G57" i="25"/>
  <c r="G56" i="25"/>
  <c r="G55" i="25"/>
  <c r="G54" i="25"/>
  <c r="G53" i="25"/>
  <c r="G52" i="25"/>
  <c r="G51" i="25"/>
  <c r="G50" i="25"/>
  <c r="G49" i="25"/>
  <c r="G48" i="25"/>
  <c r="G47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9" i="25"/>
  <c r="G7" i="25"/>
  <c r="H62" i="24"/>
  <c r="G62" i="24"/>
  <c r="H61" i="24"/>
  <c r="G61" i="24"/>
  <c r="H60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7" i="24"/>
  <c r="H62" i="23"/>
  <c r="G62" i="23"/>
  <c r="H61" i="23"/>
  <c r="G61" i="23"/>
  <c r="H60" i="23"/>
  <c r="G60" i="23"/>
  <c r="G59" i="23"/>
  <c r="G58" i="23"/>
  <c r="G57" i="23"/>
  <c r="G56" i="23"/>
  <c r="G55" i="23"/>
  <c r="G54" i="23"/>
  <c r="G53" i="23"/>
  <c r="G52" i="23"/>
  <c r="G51" i="23"/>
  <c r="G50" i="23"/>
  <c r="G49" i="23"/>
  <c r="G48" i="23"/>
  <c r="G47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7" i="23"/>
  <c r="H62" i="22"/>
  <c r="G62" i="22"/>
  <c r="H61" i="22"/>
  <c r="G61" i="22"/>
  <c r="H60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7" i="22"/>
  <c r="H62" i="21"/>
  <c r="G62" i="21"/>
  <c r="H61" i="21"/>
  <c r="G61" i="21"/>
  <c r="H60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7" i="21"/>
  <c r="H62" i="20"/>
  <c r="G62" i="20"/>
  <c r="H61" i="20"/>
  <c r="G61" i="20"/>
  <c r="H60" i="20"/>
  <c r="G60" i="20"/>
  <c r="G59" i="20"/>
  <c r="G58" i="20"/>
  <c r="G57" i="20"/>
  <c r="G56" i="20"/>
  <c r="G55" i="20"/>
  <c r="G54" i="20"/>
  <c r="G53" i="20"/>
  <c r="G52" i="20"/>
  <c r="G51" i="20"/>
  <c r="G50" i="20"/>
  <c r="G49" i="20"/>
  <c r="G48" i="20"/>
  <c r="G47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7" i="20"/>
  <c r="H62" i="19"/>
  <c r="G62" i="19"/>
  <c r="H61" i="19"/>
  <c r="G61" i="19"/>
  <c r="H60" i="19"/>
  <c r="G60" i="19"/>
  <c r="G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7" i="19"/>
  <c r="H62" i="18"/>
  <c r="G62" i="18"/>
  <c r="H61" i="18"/>
  <c r="G61" i="18"/>
  <c r="H60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7" i="18"/>
  <c r="H62" i="17"/>
  <c r="G62" i="17"/>
  <c r="H61" i="17"/>
  <c r="G61" i="17"/>
  <c r="H60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7" i="17"/>
  <c r="H62" i="16"/>
  <c r="G62" i="16"/>
  <c r="H61" i="16"/>
  <c r="G61" i="16"/>
  <c r="H60" i="16"/>
  <c r="G60" i="16"/>
  <c r="G59" i="16"/>
  <c r="G58" i="16"/>
  <c r="G57" i="16"/>
  <c r="G56" i="16"/>
  <c r="G55" i="16"/>
  <c r="G54" i="16"/>
  <c r="G53" i="16"/>
  <c r="G52" i="16"/>
  <c r="G51" i="16"/>
  <c r="G50" i="16"/>
  <c r="G49" i="16"/>
  <c r="G48" i="16"/>
  <c r="G47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7" i="16"/>
  <c r="H62" i="15"/>
  <c r="G62" i="15"/>
  <c r="H61" i="15"/>
  <c r="G61" i="15"/>
  <c r="H60" i="15"/>
  <c r="G60" i="15"/>
  <c r="G59" i="15"/>
  <c r="G58" i="15"/>
  <c r="G57" i="15"/>
  <c r="G56" i="15"/>
  <c r="G55" i="15"/>
  <c r="G54" i="15"/>
  <c r="G53" i="15"/>
  <c r="G52" i="15"/>
  <c r="G51" i="15"/>
  <c r="G50" i="15"/>
  <c r="G49" i="15"/>
  <c r="G48" i="15"/>
  <c r="G47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7" i="15"/>
  <c r="H62" i="14"/>
  <c r="G62" i="14"/>
  <c r="H61" i="14"/>
  <c r="G61" i="14"/>
  <c r="H60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7" i="14"/>
  <c r="H62" i="13"/>
  <c r="G62" i="13"/>
  <c r="H61" i="13"/>
  <c r="G61" i="13"/>
  <c r="H60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7" i="13"/>
  <c r="H62" i="12"/>
  <c r="G62" i="12"/>
  <c r="H61" i="12"/>
  <c r="G61" i="12"/>
  <c r="H60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7" i="12"/>
  <c r="H62" i="11"/>
  <c r="G62" i="11"/>
  <c r="H61" i="11"/>
  <c r="G61" i="11"/>
  <c r="H60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7" i="11"/>
  <c r="H62" i="10"/>
  <c r="G62" i="10"/>
  <c r="H61" i="10"/>
  <c r="G61" i="10"/>
  <c r="H60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7" i="10"/>
  <c r="H62" i="9"/>
  <c r="G62" i="9"/>
  <c r="H61" i="9"/>
  <c r="G61" i="9"/>
  <c r="H60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7" i="9"/>
  <c r="H62" i="8"/>
  <c r="G62" i="8"/>
  <c r="H61" i="8"/>
  <c r="G61" i="8"/>
  <c r="H60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7" i="8"/>
  <c r="H62" i="7"/>
  <c r="G62" i="7"/>
  <c r="H61" i="7"/>
  <c r="G61" i="7"/>
  <c r="H60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7" i="7"/>
  <c r="H62" i="5"/>
  <c r="G62" i="5"/>
  <c r="H61" i="5"/>
  <c r="G61" i="5"/>
  <c r="H60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7" i="5"/>
  <c r="O80" i="47"/>
  <c r="O82" i="47" s="1"/>
  <c r="E80" i="47"/>
  <c r="AA78" i="47"/>
  <c r="AA67" i="47"/>
  <c r="W67" i="47"/>
  <c r="AB67" i="47" s="1"/>
  <c r="AA66" i="47"/>
  <c r="W66" i="47"/>
  <c r="AA64" i="47"/>
  <c r="W64" i="47"/>
  <c r="AB64" i="47" s="1"/>
  <c r="AA63" i="47"/>
  <c r="W63" i="47"/>
  <c r="AB63" i="47" s="1"/>
  <c r="AA62" i="47"/>
  <c r="W62" i="47"/>
  <c r="AB62" i="47" s="1"/>
  <c r="H62" i="47"/>
  <c r="G62" i="47"/>
  <c r="AA61" i="47"/>
  <c r="W61" i="47"/>
  <c r="H61" i="47"/>
  <c r="G61" i="47"/>
  <c r="AA60" i="47"/>
  <c r="W60" i="47"/>
  <c r="AB60" i="47" s="1"/>
  <c r="H60" i="47"/>
  <c r="G60" i="47"/>
  <c r="AA59" i="47"/>
  <c r="W59" i="47"/>
  <c r="AB59" i="47" s="1"/>
  <c r="H59" i="47"/>
  <c r="G59" i="47"/>
  <c r="AA58" i="47"/>
  <c r="W58" i="47"/>
  <c r="H58" i="47"/>
  <c r="G58" i="47"/>
  <c r="AA57" i="47"/>
  <c r="W57" i="47"/>
  <c r="AB57" i="47" s="1"/>
  <c r="H57" i="47"/>
  <c r="G57" i="47"/>
  <c r="AA56" i="47"/>
  <c r="W56" i="47"/>
  <c r="AB56" i="47" s="1"/>
  <c r="H56" i="47"/>
  <c r="G56" i="47"/>
  <c r="AA55" i="47"/>
  <c r="W55" i="47"/>
  <c r="AB55" i="47" s="1"/>
  <c r="H55" i="47"/>
  <c r="G55" i="47"/>
  <c r="AA54" i="47"/>
  <c r="W54" i="47"/>
  <c r="AB54" i="47" s="1"/>
  <c r="H54" i="47"/>
  <c r="G54" i="47"/>
  <c r="AA53" i="47"/>
  <c r="W53" i="47"/>
  <c r="H53" i="47"/>
  <c r="G53" i="47"/>
  <c r="AA52" i="47"/>
  <c r="W52" i="47"/>
  <c r="AB52" i="47" s="1"/>
  <c r="H52" i="47"/>
  <c r="G52" i="47"/>
  <c r="AA51" i="47"/>
  <c r="W51" i="47"/>
  <c r="AB51" i="47" s="1"/>
  <c r="H51" i="47"/>
  <c r="G51" i="47"/>
  <c r="AA50" i="47"/>
  <c r="W50" i="47"/>
  <c r="AB50" i="47" s="1"/>
  <c r="H50" i="47"/>
  <c r="G50" i="47"/>
  <c r="AA49" i="47"/>
  <c r="W49" i="47"/>
  <c r="AB49" i="47" s="1"/>
  <c r="H49" i="47"/>
  <c r="G49" i="47"/>
  <c r="H48" i="47"/>
  <c r="G48" i="47"/>
  <c r="H47" i="47"/>
  <c r="G47" i="47"/>
  <c r="AA44" i="47"/>
  <c r="W44" i="47"/>
  <c r="AB44" i="47" s="1"/>
  <c r="O44" i="47"/>
  <c r="H44" i="47"/>
  <c r="G44" i="47"/>
  <c r="E44" i="47"/>
  <c r="E82" i="47" s="1"/>
  <c r="AA43" i="47"/>
  <c r="W43" i="47"/>
  <c r="H43" i="47"/>
  <c r="G43" i="47"/>
  <c r="AA42" i="47"/>
  <c r="W42" i="47"/>
  <c r="AB42" i="47" s="1"/>
  <c r="H42" i="47"/>
  <c r="G42" i="47"/>
  <c r="AA41" i="47"/>
  <c r="W41" i="47"/>
  <c r="H41" i="47"/>
  <c r="G41" i="47"/>
  <c r="AA40" i="47"/>
  <c r="W40" i="47"/>
  <c r="H40" i="47"/>
  <c r="G40" i="47"/>
  <c r="AA39" i="47"/>
  <c r="W39" i="47"/>
  <c r="AB39" i="47" s="1"/>
  <c r="H39" i="47"/>
  <c r="G39" i="47"/>
  <c r="AA38" i="47"/>
  <c r="W38" i="47"/>
  <c r="H38" i="47"/>
  <c r="G38" i="47"/>
  <c r="AA37" i="47"/>
  <c r="W37" i="47"/>
  <c r="H37" i="47"/>
  <c r="G37" i="47"/>
  <c r="AA36" i="47"/>
  <c r="W36" i="47"/>
  <c r="AB35" i="47" s="1"/>
  <c r="H36" i="47"/>
  <c r="G36" i="47"/>
  <c r="AA35" i="47"/>
  <c r="W35" i="47"/>
  <c r="H35" i="47"/>
  <c r="G35" i="47"/>
  <c r="AA34" i="47"/>
  <c r="W34" i="47"/>
  <c r="H34" i="47"/>
  <c r="G34" i="47"/>
  <c r="AA33" i="47"/>
  <c r="W33" i="47"/>
  <c r="AB33" i="47" s="1"/>
  <c r="H33" i="47"/>
  <c r="G33" i="47"/>
  <c r="AA32" i="47"/>
  <c r="W32" i="47"/>
  <c r="AB32" i="47" s="1"/>
  <c r="H32" i="47"/>
  <c r="G32" i="47"/>
  <c r="AA31" i="47"/>
  <c r="W31" i="47"/>
  <c r="H31" i="47"/>
  <c r="G31" i="47"/>
  <c r="AA30" i="47"/>
  <c r="W30" i="47"/>
  <c r="H30" i="47"/>
  <c r="G30" i="47"/>
  <c r="AA29" i="47"/>
  <c r="W29" i="47"/>
  <c r="H29" i="47"/>
  <c r="G29" i="47"/>
  <c r="AA28" i="47"/>
  <c r="W28" i="47"/>
  <c r="AB28" i="47" s="1"/>
  <c r="H28" i="47"/>
  <c r="G28" i="47"/>
  <c r="AA27" i="47"/>
  <c r="W27" i="47"/>
  <c r="H27" i="47"/>
  <c r="G27" i="47"/>
  <c r="AA26" i="47"/>
  <c r="W26" i="47"/>
  <c r="H26" i="47"/>
  <c r="G26" i="47"/>
  <c r="AA25" i="47"/>
  <c r="W25" i="47"/>
  <c r="AB25" i="47" s="1"/>
  <c r="H25" i="47"/>
  <c r="G25" i="47"/>
  <c r="AA24" i="47"/>
  <c r="W24" i="47"/>
  <c r="AB24" i="47" s="1"/>
  <c r="H24" i="47"/>
  <c r="G24" i="47"/>
  <c r="AA23" i="47"/>
  <c r="W23" i="47"/>
  <c r="H23" i="47"/>
  <c r="G23" i="47"/>
  <c r="AA22" i="47"/>
  <c r="W22" i="47"/>
  <c r="H22" i="47"/>
  <c r="G22" i="47"/>
  <c r="AA21" i="47"/>
  <c r="W21" i="47"/>
  <c r="H21" i="47"/>
  <c r="G21" i="47"/>
  <c r="AA20" i="47"/>
  <c r="W20" i="47"/>
  <c r="AB20" i="47" s="1"/>
  <c r="H20" i="47"/>
  <c r="G20" i="47"/>
  <c r="AA19" i="47"/>
  <c r="W19" i="47"/>
  <c r="H19" i="47"/>
  <c r="G19" i="47"/>
  <c r="AA18" i="47"/>
  <c r="W18" i="47"/>
  <c r="H18" i="47"/>
  <c r="G18" i="47"/>
  <c r="AA17" i="47"/>
  <c r="W17" i="47"/>
  <c r="AB17" i="47" s="1"/>
  <c r="H17" i="47"/>
  <c r="G17" i="47"/>
  <c r="AA16" i="47"/>
  <c r="W16" i="47"/>
  <c r="AB16" i="47" s="1"/>
  <c r="H16" i="47"/>
  <c r="G16" i="47"/>
  <c r="AA15" i="47"/>
  <c r="W15" i="47"/>
  <c r="H15" i="47"/>
  <c r="G15" i="47"/>
  <c r="AA14" i="47"/>
  <c r="W14" i="47"/>
  <c r="H14" i="47"/>
  <c r="G14" i="47"/>
  <c r="AA13" i="47"/>
  <c r="W13" i="47"/>
  <c r="H13" i="47"/>
  <c r="G13" i="47"/>
  <c r="AA12" i="47"/>
  <c r="W12" i="47"/>
  <c r="H12" i="47"/>
  <c r="G12" i="47"/>
  <c r="H11" i="47"/>
  <c r="G11" i="47"/>
  <c r="H10" i="47"/>
  <c r="G10" i="47"/>
  <c r="H9" i="47"/>
  <c r="G9" i="47"/>
  <c r="H8" i="47"/>
  <c r="G8" i="47"/>
  <c r="G7" i="47"/>
  <c r="V5" i="47"/>
  <c r="U83" i="47"/>
  <c r="V3" i="47"/>
  <c r="U81" i="47" s="1"/>
  <c r="O3" i="47"/>
  <c r="E3" i="47"/>
  <c r="O2" i="47"/>
  <c r="E2" i="47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H7" i="4"/>
  <c r="G7" i="4"/>
  <c r="AB65" i="46"/>
  <c r="O80" i="46"/>
  <c r="E80" i="46"/>
  <c r="AA78" i="46"/>
  <c r="AA67" i="46"/>
  <c r="W67" i="46"/>
  <c r="AA66" i="46"/>
  <c r="AB66" i="47"/>
  <c r="W66" i="46"/>
  <c r="AA64" i="46"/>
  <c r="W64" i="46"/>
  <c r="AA63" i="46"/>
  <c r="W63" i="46"/>
  <c r="AA62" i="46"/>
  <c r="W62" i="46"/>
  <c r="AA61" i="46"/>
  <c r="W61" i="46"/>
  <c r="AA60" i="46"/>
  <c r="W60" i="46"/>
  <c r="AA59" i="46"/>
  <c r="W59" i="46"/>
  <c r="AA58" i="46"/>
  <c r="W58" i="46"/>
  <c r="AA57" i="46"/>
  <c r="W57" i="46"/>
  <c r="AA56" i="46"/>
  <c r="W56" i="46"/>
  <c r="AA55" i="46"/>
  <c r="W55" i="46"/>
  <c r="AA54" i="46"/>
  <c r="W54" i="46"/>
  <c r="AA53" i="46"/>
  <c r="AB53" i="47" s="1"/>
  <c r="W53" i="46"/>
  <c r="AA52" i="46"/>
  <c r="W52" i="46"/>
  <c r="AA51" i="46"/>
  <c r="W51" i="46"/>
  <c r="AA50" i="46"/>
  <c r="W50" i="46"/>
  <c r="AA49" i="46"/>
  <c r="W49" i="46"/>
  <c r="AA44" i="46"/>
  <c r="W44" i="46"/>
  <c r="O44" i="46"/>
  <c r="O82" i="46" s="1"/>
  <c r="E44" i="46"/>
  <c r="E82" i="46"/>
  <c r="AA43" i="46"/>
  <c r="AB43" i="47"/>
  <c r="W43" i="46"/>
  <c r="AA42" i="46"/>
  <c r="W42" i="46"/>
  <c r="AA41" i="46"/>
  <c r="AB41" i="47"/>
  <c r="W41" i="46"/>
  <c r="AA40" i="46"/>
  <c r="AB40" i="47"/>
  <c r="W40" i="46"/>
  <c r="AA39" i="46"/>
  <c r="W39" i="46"/>
  <c r="AA38" i="46"/>
  <c r="W38" i="46"/>
  <c r="AA37" i="46"/>
  <c r="AB37" i="47" s="1"/>
  <c r="W37" i="46"/>
  <c r="AA36" i="46"/>
  <c r="W36" i="46"/>
  <c r="AA35" i="46"/>
  <c r="W35" i="46"/>
  <c r="AA34" i="46"/>
  <c r="AB34" i="47" s="1"/>
  <c r="W34" i="46"/>
  <c r="AA33" i="46"/>
  <c r="W33" i="46"/>
  <c r="AA32" i="46"/>
  <c r="W32" i="46"/>
  <c r="AA31" i="46"/>
  <c r="W31" i="46"/>
  <c r="AA30" i="46"/>
  <c r="AB30" i="47"/>
  <c r="W30" i="46"/>
  <c r="AA29" i="46"/>
  <c r="AB29" i="47" s="1"/>
  <c r="W29" i="46"/>
  <c r="AA28" i="46"/>
  <c r="W28" i="46"/>
  <c r="AA27" i="46"/>
  <c r="W27" i="46"/>
  <c r="AA26" i="46"/>
  <c r="W26" i="46"/>
  <c r="AA25" i="46"/>
  <c r="W25" i="46"/>
  <c r="AA24" i="46"/>
  <c r="W24" i="46"/>
  <c r="AA23" i="46"/>
  <c r="W23" i="46"/>
  <c r="AA22" i="46"/>
  <c r="AB22" i="47"/>
  <c r="W22" i="46"/>
  <c r="AA21" i="46"/>
  <c r="AB21" i="47" s="1"/>
  <c r="W21" i="46"/>
  <c r="AA20" i="46"/>
  <c r="W20" i="46"/>
  <c r="AA19" i="46"/>
  <c r="W19" i="46"/>
  <c r="AA18" i="46"/>
  <c r="AB18" i="47" s="1"/>
  <c r="W18" i="46"/>
  <c r="AA17" i="46"/>
  <c r="W17" i="46"/>
  <c r="AA16" i="46"/>
  <c r="W16" i="46"/>
  <c r="AA15" i="46"/>
  <c r="W15" i="46"/>
  <c r="AA14" i="46"/>
  <c r="AB14" i="47"/>
  <c r="W14" i="46"/>
  <c r="AA13" i="46"/>
  <c r="AB13" i="47" s="1"/>
  <c r="W13" i="46"/>
  <c r="AA12" i="46"/>
  <c r="W12" i="46"/>
  <c r="V5" i="46"/>
  <c r="U83" i="46"/>
  <c r="V3" i="46"/>
  <c r="U81" i="46" s="1"/>
  <c r="O3" i="46"/>
  <c r="E3" i="46"/>
  <c r="O2" i="46"/>
  <c r="E2" i="46"/>
  <c r="V64" i="18"/>
  <c r="V64" i="19" s="1"/>
  <c r="V64" i="20" s="1"/>
  <c r="V64" i="21" s="1"/>
  <c r="V62" i="18"/>
  <c r="V62" i="19"/>
  <c r="V62" i="20" s="1"/>
  <c r="V62" i="21" s="1"/>
  <c r="V62" i="22" s="1"/>
  <c r="V62" i="23" s="1"/>
  <c r="V62" i="24" s="1"/>
  <c r="V62" i="25" s="1"/>
  <c r="V62" i="26" s="1"/>
  <c r="V62" i="27" s="1"/>
  <c r="V62" i="28" s="1"/>
  <c r="V62" i="29" s="1"/>
  <c r="V62" i="30" s="1"/>
  <c r="V62" i="31" s="1"/>
  <c r="V62" i="32" s="1"/>
  <c r="V62" i="33" s="1"/>
  <c r="V62" i="34" s="1"/>
  <c r="V62" i="35" s="1"/>
  <c r="V62" i="36" s="1"/>
  <c r="V62" i="37" s="1"/>
  <c r="V62" i="38" s="1"/>
  <c r="V62" i="39" s="1"/>
  <c r="V62" i="40" s="1"/>
  <c r="V62" i="46" s="1"/>
  <c r="V61" i="18"/>
  <c r="V61" i="19" s="1"/>
  <c r="V61" i="20" s="1"/>
  <c r="V61" i="21" s="1"/>
  <c r="V61" i="22" s="1"/>
  <c r="V61" i="23" s="1"/>
  <c r="V61" i="24" s="1"/>
  <c r="V61" i="25" s="1"/>
  <c r="V61" i="26" s="1"/>
  <c r="V61" i="27" s="1"/>
  <c r="V61" i="28" s="1"/>
  <c r="V61" i="29" s="1"/>
  <c r="V61" i="30" s="1"/>
  <c r="V61" i="31" s="1"/>
  <c r="V61" i="32" s="1"/>
  <c r="V61" i="33" s="1"/>
  <c r="V61" i="34" s="1"/>
  <c r="V61" i="35" s="1"/>
  <c r="V61" i="36" s="1"/>
  <c r="V61" i="37" s="1"/>
  <c r="V61" i="38" s="1"/>
  <c r="V61" i="39" s="1"/>
  <c r="V61" i="40" s="1"/>
  <c r="V57" i="18"/>
  <c r="V57" i="19"/>
  <c r="V57" i="20" s="1"/>
  <c r="V57" i="21" s="1"/>
  <c r="V57" i="22" s="1"/>
  <c r="V57" i="23" s="1"/>
  <c r="V57" i="24" s="1"/>
  <c r="V57" i="25" s="1"/>
  <c r="V57" i="26" s="1"/>
  <c r="V57" i="27" s="1"/>
  <c r="V57" i="28" s="1"/>
  <c r="V57" i="29" s="1"/>
  <c r="V57" i="30" s="1"/>
  <c r="V57" i="31" s="1"/>
  <c r="V57" i="32" s="1"/>
  <c r="V57" i="33" s="1"/>
  <c r="V57" i="34" s="1"/>
  <c r="V57" i="35" s="1"/>
  <c r="V57" i="36" s="1"/>
  <c r="V57" i="37" s="1"/>
  <c r="V57" i="38" s="1"/>
  <c r="V57" i="39" s="1"/>
  <c r="V57" i="40" s="1"/>
  <c r="V55" i="18"/>
  <c r="V55" i="19"/>
  <c r="V55" i="20" s="1"/>
  <c r="V55" i="21" s="1"/>
  <c r="V55" i="22" s="1"/>
  <c r="V55" i="23" s="1"/>
  <c r="V55" i="24" s="1"/>
  <c r="V55" i="25" s="1"/>
  <c r="V55" i="26" s="1"/>
  <c r="V55" i="27" s="1"/>
  <c r="V55" i="28" s="1"/>
  <c r="V55" i="29" s="1"/>
  <c r="V55" i="30" s="1"/>
  <c r="V55" i="31" s="1"/>
  <c r="V54" i="18"/>
  <c r="V54" i="19"/>
  <c r="V54" i="20" s="1"/>
  <c r="V54" i="21" s="1"/>
  <c r="V53" i="18"/>
  <c r="V53" i="19" s="1"/>
  <c r="V53" i="20"/>
  <c r="V53" i="21" s="1"/>
  <c r="V53" i="22" s="1"/>
  <c r="V53" i="23" s="1"/>
  <c r="V53" i="24" s="1"/>
  <c r="V53" i="25" s="1"/>
  <c r="V53" i="26" s="1"/>
  <c r="V53" i="27" s="1"/>
  <c r="V53" i="28" s="1"/>
  <c r="V53" i="29" s="1"/>
  <c r="V53" i="30" s="1"/>
  <c r="V53" i="31" s="1"/>
  <c r="V53" i="32" s="1"/>
  <c r="V53" i="33" s="1"/>
  <c r="V53" i="34" s="1"/>
  <c r="V53" i="35" s="1"/>
  <c r="V53" i="36" s="1"/>
  <c r="V53" i="37" s="1"/>
  <c r="V53" i="38" s="1"/>
  <c r="V53" i="39" s="1"/>
  <c r="V53" i="40" s="1"/>
  <c r="V52" i="18"/>
  <c r="V52" i="19" s="1"/>
  <c r="V52" i="20" s="1"/>
  <c r="V52" i="21" s="1"/>
  <c r="V52" i="22" s="1"/>
  <c r="V52" i="23" s="1"/>
  <c r="V52" i="24" s="1"/>
  <c r="V52" i="25" s="1"/>
  <c r="V52" i="26" s="1"/>
  <c r="V52" i="27" s="1"/>
  <c r="V52" i="28" s="1"/>
  <c r="V52" i="29" s="1"/>
  <c r="V52" i="30" s="1"/>
  <c r="V52" i="31" s="1"/>
  <c r="V52" i="32" s="1"/>
  <c r="V52" i="33" s="1"/>
  <c r="V52" i="34" s="1"/>
  <c r="V52" i="35" s="1"/>
  <c r="V52" i="36" s="1"/>
  <c r="V52" i="37" s="1"/>
  <c r="V52" i="38" s="1"/>
  <c r="V52" i="39" s="1"/>
  <c r="V52" i="40" s="1"/>
  <c r="V52" i="46" s="1"/>
  <c r="V51" i="18"/>
  <c r="V51" i="19" s="1"/>
  <c r="V51" i="20" s="1"/>
  <c r="V51" i="21" s="1"/>
  <c r="V51" i="22" s="1"/>
  <c r="V51" i="23" s="1"/>
  <c r="V51" i="24" s="1"/>
  <c r="V51" i="25"/>
  <c r="V51" i="26"/>
  <c r="V50" i="18"/>
  <c r="V50" i="19" s="1"/>
  <c r="V50" i="20"/>
  <c r="V50" i="21" s="1"/>
  <c r="V50" i="22" s="1"/>
  <c r="V50" i="23" s="1"/>
  <c r="V50" i="24" s="1"/>
  <c r="V50" i="25" s="1"/>
  <c r="V50" i="26" s="1"/>
  <c r="V50" i="27" s="1"/>
  <c r="V50" i="28" s="1"/>
  <c r="V50" i="29" s="1"/>
  <c r="V50" i="30" s="1"/>
  <c r="V50" i="31" s="1"/>
  <c r="V50" i="32" s="1"/>
  <c r="V50" i="33" s="1"/>
  <c r="V50" i="34" s="1"/>
  <c r="V44" i="18"/>
  <c r="V44" i="19" s="1"/>
  <c r="V44" i="20"/>
  <c r="V44" i="21"/>
  <c r="V44" i="22" s="1"/>
  <c r="V44" i="23" s="1"/>
  <c r="V44" i="24" s="1"/>
  <c r="V44" i="25" s="1"/>
  <c r="V44" i="26" s="1"/>
  <c r="V44" i="27" s="1"/>
  <c r="V44" i="28" s="1"/>
  <c r="V44" i="29" s="1"/>
  <c r="V44" i="30" s="1"/>
  <c r="V44" i="31" s="1"/>
  <c r="V44" i="32" s="1"/>
  <c r="V44" i="33" s="1"/>
  <c r="V44" i="34" s="1"/>
  <c r="V44" i="35" s="1"/>
  <c r="V44" i="36" s="1"/>
  <c r="V44" i="37" s="1"/>
  <c r="V44" i="38" s="1"/>
  <c r="V44" i="39" s="1"/>
  <c r="V44" i="40" s="1"/>
  <c r="V43" i="18"/>
  <c r="V43" i="19" s="1"/>
  <c r="V43" i="20" s="1"/>
  <c r="V43" i="21" s="1"/>
  <c r="R43" i="21" s="1"/>
  <c r="V43" i="22"/>
  <c r="V41" i="18"/>
  <c r="V41" i="19" s="1"/>
  <c r="V41" i="20"/>
  <c r="V41" i="21" s="1"/>
  <c r="V41" i="22" s="1"/>
  <c r="V41" i="23" s="1"/>
  <c r="V41" i="24" s="1"/>
  <c r="V41" i="25" s="1"/>
  <c r="V41" i="26" s="1"/>
  <c r="V41" i="27" s="1"/>
  <c r="V41" i="28" s="1"/>
  <c r="V41" i="29" s="1"/>
  <c r="V41" i="30" s="1"/>
  <c r="V41" i="31" s="1"/>
  <c r="V41" i="32" s="1"/>
  <c r="V41" i="33" s="1"/>
  <c r="V41" i="34" s="1"/>
  <c r="V41" i="35" s="1"/>
  <c r="V41" i="36" s="1"/>
  <c r="V41" i="37" s="1"/>
  <c r="V41" i="38" s="1"/>
  <c r="V41" i="39" s="1"/>
  <c r="V41" i="40" s="1"/>
  <c r="V40" i="18"/>
  <c r="V40" i="19" s="1"/>
  <c r="V40" i="20" s="1"/>
  <c r="V40" i="21" s="1"/>
  <c r="V40" i="22" s="1"/>
  <c r="V40" i="23" s="1"/>
  <c r="V40" i="24" s="1"/>
  <c r="V40" i="25" s="1"/>
  <c r="V40" i="26" s="1"/>
  <c r="V40" i="27" s="1"/>
  <c r="V40" i="28" s="1"/>
  <c r="V40" i="29" s="1"/>
  <c r="V40" i="30" s="1"/>
  <c r="V40" i="31" s="1"/>
  <c r="V40" i="32" s="1"/>
  <c r="V40" i="33" s="1"/>
  <c r="V40" i="34" s="1"/>
  <c r="V40" i="35" s="1"/>
  <c r="V40" i="36" s="1"/>
  <c r="V40" i="37" s="1"/>
  <c r="V40" i="38" s="1"/>
  <c r="V40" i="39" s="1"/>
  <c r="V40" i="40" s="1"/>
  <c r="V39" i="18"/>
  <c r="V39" i="19"/>
  <c r="V39" i="20" s="1"/>
  <c r="V39" i="21" s="1"/>
  <c r="V39" i="22" s="1"/>
  <c r="V38" i="18"/>
  <c r="V38" i="19" s="1"/>
  <c r="V38" i="20"/>
  <c r="V38" i="21" s="1"/>
  <c r="V38" i="22" s="1"/>
  <c r="V38" i="23" s="1"/>
  <c r="V38" i="24" s="1"/>
  <c r="V38" i="25" s="1"/>
  <c r="V38" i="26" s="1"/>
  <c r="V38" i="27" s="1"/>
  <c r="V38" i="28" s="1"/>
  <c r="V38" i="29" s="1"/>
  <c r="V38" i="30" s="1"/>
  <c r="V38" i="31" s="1"/>
  <c r="V38" i="32" s="1"/>
  <c r="V38" i="33" s="1"/>
  <c r="V38" i="34" s="1"/>
  <c r="V37" i="18"/>
  <c r="V37" i="19"/>
  <c r="V37" i="20" s="1"/>
  <c r="V37" i="21"/>
  <c r="V35" i="18"/>
  <c r="V35" i="19" s="1"/>
  <c r="V35" i="20" s="1"/>
  <c r="V35" i="21" s="1"/>
  <c r="V35" i="22" s="1"/>
  <c r="V35" i="23" s="1"/>
  <c r="V35" i="24" s="1"/>
  <c r="V35" i="25" s="1"/>
  <c r="V35" i="26" s="1"/>
  <c r="V35" i="27" s="1"/>
  <c r="V35" i="28" s="1"/>
  <c r="V35" i="29" s="1"/>
  <c r="V35" i="30" s="1"/>
  <c r="V35" i="31" s="1"/>
  <c r="V35" i="32" s="1"/>
  <c r="V35" i="33" s="1"/>
  <c r="V35" i="34" s="1"/>
  <c r="V35" i="35" s="1"/>
  <c r="V35" i="36" s="1"/>
  <c r="V35" i="37" s="1"/>
  <c r="V35" i="38" s="1"/>
  <c r="V35" i="39" s="1"/>
  <c r="V35" i="40" s="1"/>
  <c r="V35" i="46" s="1"/>
  <c r="V34" i="18"/>
  <c r="V34" i="19"/>
  <c r="V34" i="20" s="1"/>
  <c r="V34" i="21" s="1"/>
  <c r="V34" i="22" s="1"/>
  <c r="V34" i="23" s="1"/>
  <c r="V34" i="24" s="1"/>
  <c r="V34" i="25" s="1"/>
  <c r="V34" i="26" s="1"/>
  <c r="V33" i="18"/>
  <c r="V33" i="19"/>
  <c r="V32" i="18"/>
  <c r="V32" i="19" s="1"/>
  <c r="V32" i="20" s="1"/>
  <c r="V32" i="21" s="1"/>
  <c r="V31" i="18"/>
  <c r="V31" i="19" s="1"/>
  <c r="V31" i="20" s="1"/>
  <c r="V31" i="21" s="1"/>
  <c r="V31" i="22" s="1"/>
  <c r="V31" i="23" s="1"/>
  <c r="V31" i="24" s="1"/>
  <c r="V31" i="25" s="1"/>
  <c r="V31" i="26" s="1"/>
  <c r="V31" i="27" s="1"/>
  <c r="V31" i="28" s="1"/>
  <c r="V31" i="29" s="1"/>
  <c r="V31" i="30" s="1"/>
  <c r="V31" i="31" s="1"/>
  <c r="V31" i="32" s="1"/>
  <c r="V31" i="33"/>
  <c r="V31" i="34" s="1"/>
  <c r="V31" i="35" s="1"/>
  <c r="V31" i="36" s="1"/>
  <c r="V31" i="37" s="1"/>
  <c r="V31" i="38" s="1"/>
  <c r="V31" i="39" s="1"/>
  <c r="V31" i="40" s="1"/>
  <c r="V30" i="18"/>
  <c r="V30" i="19"/>
  <c r="V30" i="20" s="1"/>
  <c r="V30" i="21" s="1"/>
  <c r="V30" i="22" s="1"/>
  <c r="V30" i="23" s="1"/>
  <c r="V30" i="24" s="1"/>
  <c r="V30" i="25" s="1"/>
  <c r="V30" i="26" s="1"/>
  <c r="V30" i="27" s="1"/>
  <c r="V30" i="28" s="1"/>
  <c r="V30" i="29" s="1"/>
  <c r="V30" i="30" s="1"/>
  <c r="V30" i="31" s="1"/>
  <c r="V30" i="32" s="1"/>
  <c r="V30" i="33" s="1"/>
  <c r="V30" i="34" s="1"/>
  <c r="V30" i="35" s="1"/>
  <c r="V30" i="36" s="1"/>
  <c r="V30" i="37" s="1"/>
  <c r="V30" i="38" s="1"/>
  <c r="V30" i="39" s="1"/>
  <c r="V30" i="40" s="1"/>
  <c r="V30" i="46" s="1"/>
  <c r="V28" i="18"/>
  <c r="V28" i="19" s="1"/>
  <c r="V28" i="20"/>
  <c r="V28" i="21" s="1"/>
  <c r="V28" i="22" s="1"/>
  <c r="V28" i="23" s="1"/>
  <c r="V28" i="24" s="1"/>
  <c r="V28" i="25" s="1"/>
  <c r="V28" i="26" s="1"/>
  <c r="V27" i="18"/>
  <c r="V27" i="19" s="1"/>
  <c r="V27" i="20" s="1"/>
  <c r="V27" i="21"/>
  <c r="V27" i="22" s="1"/>
  <c r="V27" i="23" s="1"/>
  <c r="V26" i="18"/>
  <c r="V26" i="19" s="1"/>
  <c r="V26" i="20" s="1"/>
  <c r="V26" i="21" s="1"/>
  <c r="V26" i="22" s="1"/>
  <c r="V26" i="23" s="1"/>
  <c r="V26" i="24" s="1"/>
  <c r="V26" i="25" s="1"/>
  <c r="V26" i="26" s="1"/>
  <c r="V26" i="27" s="1"/>
  <c r="V25" i="18"/>
  <c r="V25" i="19"/>
  <c r="V25" i="20"/>
  <c r="V25" i="21" s="1"/>
  <c r="V25" i="22" s="1"/>
  <c r="V25" i="23" s="1"/>
  <c r="V25" i="24" s="1"/>
  <c r="V25" i="25" s="1"/>
  <c r="V25" i="26" s="1"/>
  <c r="V25" i="27" s="1"/>
  <c r="V25" i="28" s="1"/>
  <c r="V25" i="29" s="1"/>
  <c r="V25" i="30" s="1"/>
  <c r="V25" i="31" s="1"/>
  <c r="V25" i="32" s="1"/>
  <c r="V25" i="33" s="1"/>
  <c r="V25" i="34" s="1"/>
  <c r="V25" i="35"/>
  <c r="V24" i="18"/>
  <c r="V24" i="19" s="1"/>
  <c r="V24" i="20"/>
  <c r="V24" i="21" s="1"/>
  <c r="V24" i="22" s="1"/>
  <c r="V24" i="23" s="1"/>
  <c r="V24" i="24" s="1"/>
  <c r="V24" i="25" s="1"/>
  <c r="V24" i="26" s="1"/>
  <c r="V24" i="27" s="1"/>
  <c r="V24" i="28" s="1"/>
  <c r="V24" i="29" s="1"/>
  <c r="V24" i="30" s="1"/>
  <c r="V24" i="31" s="1"/>
  <c r="V24" i="32" s="1"/>
  <c r="V24" i="33" s="1"/>
  <c r="V24" i="34" s="1"/>
  <c r="V24" i="35" s="1"/>
  <c r="V24" i="36" s="1"/>
  <c r="V24" i="37" s="1"/>
  <c r="V24" i="38" s="1"/>
  <c r="V24" i="39" s="1"/>
  <c r="V24" i="40" s="1"/>
  <c r="V23" i="18"/>
  <c r="V23" i="19" s="1"/>
  <c r="V23" i="20" s="1"/>
  <c r="V23" i="21"/>
  <c r="V23" i="22" s="1"/>
  <c r="V23" i="23" s="1"/>
  <c r="V23" i="24" s="1"/>
  <c r="V23" i="25" s="1"/>
  <c r="V23" i="26" s="1"/>
  <c r="V23" i="27" s="1"/>
  <c r="V23" i="28" s="1"/>
  <c r="V23" i="29" s="1"/>
  <c r="V23" i="30" s="1"/>
  <c r="V23" i="31" s="1"/>
  <c r="V23" i="32" s="1"/>
  <c r="V23" i="33" s="1"/>
  <c r="V23" i="34"/>
  <c r="V23" i="35" s="1"/>
  <c r="V23" i="36" s="1"/>
  <c r="V23" i="37" s="1"/>
  <c r="V23" i="38" s="1"/>
  <c r="V23" i="39" s="1"/>
  <c r="V23" i="40" s="1"/>
  <c r="V23" i="46" s="1"/>
  <c r="V22" i="18"/>
  <c r="V22" i="19" s="1"/>
  <c r="V22" i="20" s="1"/>
  <c r="V22" i="21" s="1"/>
  <c r="V22" i="22" s="1"/>
  <c r="V22" i="23" s="1"/>
  <c r="V22" i="24" s="1"/>
  <c r="V22" i="25" s="1"/>
  <c r="V22" i="26"/>
  <c r="V22" i="27" s="1"/>
  <c r="V22" i="28" s="1"/>
  <c r="V22" i="29" s="1"/>
  <c r="V21" i="18"/>
  <c r="V21" i="19"/>
  <c r="V21" i="20" s="1"/>
  <c r="V21" i="21" s="1"/>
  <c r="V20" i="18"/>
  <c r="V20" i="19" s="1"/>
  <c r="V20" i="20" s="1"/>
  <c r="V20" i="21" s="1"/>
  <c r="V20" i="22" s="1"/>
  <c r="V20" i="23" s="1"/>
  <c r="V20" i="24" s="1"/>
  <c r="V20" i="25" s="1"/>
  <c r="V20" i="26" s="1"/>
  <c r="V20" i="27" s="1"/>
  <c r="V20" i="28" s="1"/>
  <c r="V20" i="29"/>
  <c r="V20" i="30" s="1"/>
  <c r="V20" i="31" s="1"/>
  <c r="V20" i="32" s="1"/>
  <c r="V20" i="33" s="1"/>
  <c r="V20" i="34" s="1"/>
  <c r="V20" i="35" s="1"/>
  <c r="V20" i="36" s="1"/>
  <c r="V20" i="37" s="1"/>
  <c r="V20" i="38" s="1"/>
  <c r="V20" i="39" s="1"/>
  <c r="V20" i="40" s="1"/>
  <c r="V20" i="46" s="1"/>
  <c r="V19" i="18"/>
  <c r="V19" i="19"/>
  <c r="V19" i="20" s="1"/>
  <c r="V19" i="21" s="1"/>
  <c r="V19" i="22" s="1"/>
  <c r="V19" i="23" s="1"/>
  <c r="V19" i="24" s="1"/>
  <c r="V19" i="25" s="1"/>
  <c r="V19" i="26" s="1"/>
  <c r="V19" i="27" s="1"/>
  <c r="V19" i="28" s="1"/>
  <c r="V19" i="29" s="1"/>
  <c r="V19" i="30" s="1"/>
  <c r="V19" i="31" s="1"/>
  <c r="V19" i="32" s="1"/>
  <c r="V19" i="33" s="1"/>
  <c r="V19" i="34" s="1"/>
  <c r="V19" i="35" s="1"/>
  <c r="V19" i="36" s="1"/>
  <c r="V19" i="37" s="1"/>
  <c r="V19" i="38" s="1"/>
  <c r="V19" i="39" s="1"/>
  <c r="V19" i="40" s="1"/>
  <c r="V19" i="46" s="1"/>
  <c r="V17" i="18"/>
  <c r="V17" i="19" s="1"/>
  <c r="V17" i="20" s="1"/>
  <c r="V17" i="21" s="1"/>
  <c r="V17" i="22"/>
  <c r="V17" i="23" s="1"/>
  <c r="V17" i="24" s="1"/>
  <c r="V16" i="18"/>
  <c r="V16" i="19"/>
  <c r="V16" i="20" s="1"/>
  <c r="V16" i="21" s="1"/>
  <c r="V15" i="18"/>
  <c r="V15" i="19"/>
  <c r="V15" i="20"/>
  <c r="V15" i="21" s="1"/>
  <c r="V15" i="22" s="1"/>
  <c r="V15" i="23" s="1"/>
  <c r="V15" i="24" s="1"/>
  <c r="V14" i="18"/>
  <c r="V14" i="19" s="1"/>
  <c r="V14" i="20" s="1"/>
  <c r="V14" i="21" s="1"/>
  <c r="V13" i="18"/>
  <c r="V13" i="19" s="1"/>
  <c r="V13" i="20" s="1"/>
  <c r="V13" i="21" s="1"/>
  <c r="V13" i="22" s="1"/>
  <c r="V13" i="23" s="1"/>
  <c r="V13" i="24" s="1"/>
  <c r="V13" i="25" s="1"/>
  <c r="V13" i="26" s="1"/>
  <c r="V13" i="27" s="1"/>
  <c r="V13" i="28" s="1"/>
  <c r="V13" i="29" s="1"/>
  <c r="V13" i="30" s="1"/>
  <c r="V13" i="31" s="1"/>
  <c r="V13" i="32" s="1"/>
  <c r="V13" i="33" s="1"/>
  <c r="V13" i="34" s="1"/>
  <c r="V13" i="35" s="1"/>
  <c r="V13" i="36" s="1"/>
  <c r="V13" i="37" s="1"/>
  <c r="V13" i="38" s="1"/>
  <c r="V13" i="39" s="1"/>
  <c r="V13" i="40" s="1"/>
  <c r="V13" i="46" s="1"/>
  <c r="O80" i="9"/>
  <c r="E80" i="9"/>
  <c r="O80" i="4"/>
  <c r="O80" i="5"/>
  <c r="O80" i="7"/>
  <c r="O80" i="8"/>
  <c r="E80" i="8"/>
  <c r="E80" i="7"/>
  <c r="E80" i="5"/>
  <c r="E80" i="4"/>
  <c r="T64" i="5"/>
  <c r="T64" i="7" s="1"/>
  <c r="T64" i="8" s="1"/>
  <c r="T63" i="5"/>
  <c r="T63" i="7" s="1"/>
  <c r="T63" i="8"/>
  <c r="T63" i="9"/>
  <c r="T63" i="10" s="1"/>
  <c r="T63" i="11" s="1"/>
  <c r="T63" i="12" s="1"/>
  <c r="T63" i="13" s="1"/>
  <c r="T63" i="14" s="1"/>
  <c r="T63" i="15" s="1"/>
  <c r="T63" i="16" s="1"/>
  <c r="T63" i="17" s="1"/>
  <c r="T63" i="18" s="1"/>
  <c r="T63" i="19" s="1"/>
  <c r="T63" i="20" s="1"/>
  <c r="T63" i="21" s="1"/>
  <c r="T62" i="5"/>
  <c r="T62" i="7" s="1"/>
  <c r="T62" i="8"/>
  <c r="T62" i="9" s="1"/>
  <c r="T62" i="10" s="1"/>
  <c r="T62" i="11" s="1"/>
  <c r="T62" i="12"/>
  <c r="T62" i="13"/>
  <c r="T62" i="14" s="1"/>
  <c r="T62" i="15" s="1"/>
  <c r="T62" i="16" s="1"/>
  <c r="T62" i="17" s="1"/>
  <c r="T62" i="18" s="1"/>
  <c r="T62" i="19" s="1"/>
  <c r="T62" i="20" s="1"/>
  <c r="T62" i="21" s="1"/>
  <c r="T62" i="22" s="1"/>
  <c r="T61" i="5"/>
  <c r="T61" i="7" s="1"/>
  <c r="T61" i="8" s="1"/>
  <c r="T61" i="9" s="1"/>
  <c r="T61" i="10" s="1"/>
  <c r="T61" i="11" s="1"/>
  <c r="T61" i="12" s="1"/>
  <c r="T61" i="13" s="1"/>
  <c r="T61" i="14" s="1"/>
  <c r="T61" i="15" s="1"/>
  <c r="T61" i="16" s="1"/>
  <c r="T61" i="17" s="1"/>
  <c r="T61" i="18" s="1"/>
  <c r="T60" i="5"/>
  <c r="T60" i="7" s="1"/>
  <c r="T60" i="8"/>
  <c r="T60" i="9"/>
  <c r="T60" i="10"/>
  <c r="T59" i="5"/>
  <c r="T59" i="7" s="1"/>
  <c r="T59" i="8" s="1"/>
  <c r="T59" i="9" s="1"/>
  <c r="T59" i="10" s="1"/>
  <c r="T59" i="11" s="1"/>
  <c r="T59" i="12" s="1"/>
  <c r="T59" i="13" s="1"/>
  <c r="T59" i="14"/>
  <c r="T59" i="15" s="1"/>
  <c r="T59" i="16"/>
  <c r="T58" i="5"/>
  <c r="T58" i="7" s="1"/>
  <c r="T58" i="8"/>
  <c r="T58" i="9" s="1"/>
  <c r="T58" i="10" s="1"/>
  <c r="T58" i="11" s="1"/>
  <c r="T58" i="12" s="1"/>
  <c r="T58" i="13" s="1"/>
  <c r="T58" i="14" s="1"/>
  <c r="T58" i="15" s="1"/>
  <c r="T58" i="16" s="1"/>
  <c r="T58" i="17"/>
  <c r="T57" i="5"/>
  <c r="T57" i="7"/>
  <c r="T57" i="8"/>
  <c r="T57" i="9" s="1"/>
  <c r="T57" i="10" s="1"/>
  <c r="T57" i="11" s="1"/>
  <c r="T57" i="12" s="1"/>
  <c r="T57" i="13" s="1"/>
  <c r="T57" i="14" s="1"/>
  <c r="T57" i="15" s="1"/>
  <c r="T57" i="16" s="1"/>
  <c r="T57" i="17"/>
  <c r="T56" i="5"/>
  <c r="T56" i="7" s="1"/>
  <c r="T56" i="8"/>
  <c r="T55" i="5"/>
  <c r="T55" i="7"/>
  <c r="T55" i="8"/>
  <c r="T55" i="9"/>
  <c r="T55" i="10" s="1"/>
  <c r="T55" i="11" s="1"/>
  <c r="T55" i="12" s="1"/>
  <c r="T55" i="13" s="1"/>
  <c r="T55" i="14" s="1"/>
  <c r="T55" i="15" s="1"/>
  <c r="T55" i="16" s="1"/>
  <c r="T55" i="17" s="1"/>
  <c r="T55" i="18" s="1"/>
  <c r="T55" i="19" s="1"/>
  <c r="T55" i="20"/>
  <c r="T55" i="21" s="1"/>
  <c r="T55" i="22" s="1"/>
  <c r="T54" i="5"/>
  <c r="T54" i="7"/>
  <c r="T54" i="8"/>
  <c r="T54" i="9"/>
  <c r="T53" i="5"/>
  <c r="T53" i="7"/>
  <c r="T53" i="8"/>
  <c r="T53" i="9" s="1"/>
  <c r="T52" i="5"/>
  <c r="T52" i="7" s="1"/>
  <c r="T52" i="8"/>
  <c r="T52" i="9"/>
  <c r="T52" i="10" s="1"/>
  <c r="T51" i="5"/>
  <c r="T51" i="7" s="1"/>
  <c r="T51" i="8" s="1"/>
  <c r="H46" i="8" s="1"/>
  <c r="T51" i="9"/>
  <c r="T50" i="5"/>
  <c r="T50" i="7"/>
  <c r="T50" i="8"/>
  <c r="T50" i="9"/>
  <c r="H45" i="9" s="1"/>
  <c r="T50" i="10"/>
  <c r="T49" i="5"/>
  <c r="T49" i="7"/>
  <c r="T49" i="8" s="1"/>
  <c r="T49" i="9" s="1"/>
  <c r="T49" i="10"/>
  <c r="T49" i="11" s="1"/>
  <c r="T44" i="5"/>
  <c r="T44" i="7"/>
  <c r="T44" i="8" s="1"/>
  <c r="T44" i="9" s="1"/>
  <c r="T44" i="10"/>
  <c r="T43" i="5"/>
  <c r="T43" i="7"/>
  <c r="T43" i="8" s="1"/>
  <c r="T43" i="9" s="1"/>
  <c r="T43" i="10" s="1"/>
  <c r="T43" i="11" s="1"/>
  <c r="T43" i="12" s="1"/>
  <c r="T43" i="13" s="1"/>
  <c r="T42" i="5"/>
  <c r="T42" i="7" s="1"/>
  <c r="T42" i="8" s="1"/>
  <c r="T42" i="9" s="1"/>
  <c r="T42" i="10" s="1"/>
  <c r="T42" i="11" s="1"/>
  <c r="T42" i="12" s="1"/>
  <c r="T42" i="13" s="1"/>
  <c r="T42" i="14" s="1"/>
  <c r="T42" i="15" s="1"/>
  <c r="T41" i="5"/>
  <c r="T41" i="7" s="1"/>
  <c r="T41" i="8" s="1"/>
  <c r="T41" i="9" s="1"/>
  <c r="T41" i="10" s="1"/>
  <c r="T41" i="11" s="1"/>
  <c r="T41" i="12" s="1"/>
  <c r="T41" i="13" s="1"/>
  <c r="T41" i="14"/>
  <c r="T40" i="5"/>
  <c r="T40" i="7" s="1"/>
  <c r="T39" i="5"/>
  <c r="T39" i="7"/>
  <c r="T39" i="8" s="1"/>
  <c r="T39" i="9" s="1"/>
  <c r="T39" i="10" s="1"/>
  <c r="T39" i="11" s="1"/>
  <c r="T39" i="12" s="1"/>
  <c r="T39" i="13" s="1"/>
  <c r="T39" i="14" s="1"/>
  <c r="T39" i="15" s="1"/>
  <c r="T39" i="16" s="1"/>
  <c r="T39" i="17"/>
  <c r="T38" i="5"/>
  <c r="T38" i="7" s="1"/>
  <c r="T38" i="8" s="1"/>
  <c r="T38" i="9" s="1"/>
  <c r="T38" i="10" s="1"/>
  <c r="T38" i="11" s="1"/>
  <c r="T38" i="12"/>
  <c r="T38" i="13" s="1"/>
  <c r="T37" i="5"/>
  <c r="T37" i="7"/>
  <c r="T37" i="8" s="1"/>
  <c r="T36" i="5"/>
  <c r="T36" i="7"/>
  <c r="T36" i="8" s="1"/>
  <c r="T36" i="9" s="1"/>
  <c r="T36" i="10"/>
  <c r="T36" i="11" s="1"/>
  <c r="T36" i="12" s="1"/>
  <c r="T35" i="5"/>
  <c r="T35" i="7" s="1"/>
  <c r="T35" i="8" s="1"/>
  <c r="T35" i="9" s="1"/>
  <c r="T35" i="10" s="1"/>
  <c r="T35" i="11" s="1"/>
  <c r="T35" i="12" s="1"/>
  <c r="T35" i="13"/>
  <c r="T34" i="5"/>
  <c r="T34" i="7" s="1"/>
  <c r="T34" i="8"/>
  <c r="T33" i="5"/>
  <c r="T33" i="7" s="1"/>
  <c r="T33" i="8" s="1"/>
  <c r="T33" i="9" s="1"/>
  <c r="T33" i="10" s="1"/>
  <c r="T33" i="11"/>
  <c r="T33" i="12"/>
  <c r="T33" i="13" s="1"/>
  <c r="T33" i="14" s="1"/>
  <c r="T32" i="5"/>
  <c r="T31" i="5"/>
  <c r="T31" i="7" s="1"/>
  <c r="T31" i="8" s="1"/>
  <c r="T31" i="9"/>
  <c r="T31" i="10"/>
  <c r="T30" i="5"/>
  <c r="T30" i="7" s="1"/>
  <c r="T29" i="5"/>
  <c r="T29" i="7"/>
  <c r="T29" i="8"/>
  <c r="T29" i="9" s="1"/>
  <c r="T29" i="10" s="1"/>
  <c r="T29" i="11" s="1"/>
  <c r="T29" i="12" s="1"/>
  <c r="T29" i="13" s="1"/>
  <c r="T29" i="14" s="1"/>
  <c r="T29" i="15"/>
  <c r="T28" i="5"/>
  <c r="T28" i="7"/>
  <c r="T28" i="8" s="1"/>
  <c r="T28" i="9" s="1"/>
  <c r="T28" i="10" s="1"/>
  <c r="T28" i="11" s="1"/>
  <c r="T28" i="12" s="1"/>
  <c r="T27" i="5"/>
  <c r="T26" i="5"/>
  <c r="T26" i="7" s="1"/>
  <c r="T26" i="8" s="1"/>
  <c r="T25" i="5"/>
  <c r="T25" i="7" s="1"/>
  <c r="T25" i="8" s="1"/>
  <c r="T25" i="9" s="1"/>
  <c r="T25" i="10" s="1"/>
  <c r="T25" i="11"/>
  <c r="T24" i="5"/>
  <c r="T24" i="7"/>
  <c r="T24" i="8" s="1"/>
  <c r="T24" i="9" s="1"/>
  <c r="T24" i="10" s="1"/>
  <c r="T24" i="11" s="1"/>
  <c r="T24" i="12" s="1"/>
  <c r="T24" i="13" s="1"/>
  <c r="T24" i="14" s="1"/>
  <c r="T24" i="15" s="1"/>
  <c r="T23" i="5"/>
  <c r="T23" i="7" s="1"/>
  <c r="T23" i="8" s="1"/>
  <c r="T23" i="9"/>
  <c r="T22" i="5"/>
  <c r="T22" i="7" s="1"/>
  <c r="T22" i="8" s="1"/>
  <c r="T22" i="9" s="1"/>
  <c r="T22" i="10" s="1"/>
  <c r="T22" i="11" s="1"/>
  <c r="T22" i="12"/>
  <c r="T22" i="13"/>
  <c r="T21" i="5"/>
  <c r="T21" i="7"/>
  <c r="T21" i="8"/>
  <c r="T20" i="5"/>
  <c r="T20" i="7"/>
  <c r="T20" i="8" s="1"/>
  <c r="T20" i="9" s="1"/>
  <c r="T20" i="10"/>
  <c r="T20" i="11"/>
  <c r="T20" i="12" s="1"/>
  <c r="T19" i="5"/>
  <c r="T19" i="7" s="1"/>
  <c r="T19" i="8" s="1"/>
  <c r="T19" i="9" s="1"/>
  <c r="T19" i="10" s="1"/>
  <c r="T19" i="11" s="1"/>
  <c r="T19" i="12" s="1"/>
  <c r="T19" i="13"/>
  <c r="T19" i="14" s="1"/>
  <c r="T19" i="15" s="1"/>
  <c r="T18" i="5"/>
  <c r="T18" i="7" s="1"/>
  <c r="T18" i="8"/>
  <c r="T18" i="9"/>
  <c r="T18" i="10" s="1"/>
  <c r="T17" i="5"/>
  <c r="T17" i="7"/>
  <c r="T17" i="8"/>
  <c r="T17" i="9" s="1"/>
  <c r="T17" i="10" s="1"/>
  <c r="T17" i="11"/>
  <c r="T16" i="5"/>
  <c r="T16" i="7"/>
  <c r="T15" i="5"/>
  <c r="T15" i="7" s="1"/>
  <c r="T15" i="8" s="1"/>
  <c r="T15" i="9" s="1"/>
  <c r="T15" i="10" s="1"/>
  <c r="T14" i="5"/>
  <c r="T14" i="7" s="1"/>
  <c r="T14" i="8" s="1"/>
  <c r="T14" i="9" s="1"/>
  <c r="T14" i="10" s="1"/>
  <c r="T14" i="11" s="1"/>
  <c r="T14" i="12"/>
  <c r="T14" i="13" s="1"/>
  <c r="T13" i="5"/>
  <c r="T13" i="7"/>
  <c r="T13" i="8"/>
  <c r="T12" i="5"/>
  <c r="T12" i="7"/>
  <c r="T12" i="8" s="1"/>
  <c r="T12" i="9" s="1"/>
  <c r="T12" i="10"/>
  <c r="T12" i="11"/>
  <c r="AB56" i="49"/>
  <c r="AB57" i="49"/>
  <c r="AB58" i="49"/>
  <c r="AB59" i="49"/>
  <c r="AB60" i="49"/>
  <c r="AB61" i="49"/>
  <c r="AB62" i="49"/>
  <c r="AB63" i="49"/>
  <c r="AB64" i="49"/>
  <c r="AB66" i="49"/>
  <c r="AB67" i="49"/>
  <c r="AB57" i="52"/>
  <c r="AB58" i="52"/>
  <c r="AB59" i="52"/>
  <c r="AB60" i="52"/>
  <c r="AB61" i="52"/>
  <c r="AB62" i="52"/>
  <c r="AB63" i="52"/>
  <c r="AB64" i="52"/>
  <c r="AB66" i="52"/>
  <c r="AB67" i="52"/>
  <c r="O82" i="53"/>
  <c r="E82" i="54"/>
  <c r="AB59" i="54"/>
  <c r="AB61" i="54"/>
  <c r="AB63" i="54"/>
  <c r="AB67" i="54"/>
  <c r="E82" i="55"/>
  <c r="O82" i="56"/>
  <c r="AA68" i="56"/>
  <c r="AA74" i="56" s="1"/>
  <c r="AB50" i="50"/>
  <c r="AB52" i="50"/>
  <c r="AB53" i="50"/>
  <c r="AB54" i="50"/>
  <c r="AB56" i="50"/>
  <c r="AB57" i="50"/>
  <c r="AB58" i="50"/>
  <c r="AB60" i="50"/>
  <c r="AB61" i="50"/>
  <c r="AB62" i="50"/>
  <c r="AB64" i="50"/>
  <c r="AB66" i="50"/>
  <c r="AB61" i="51"/>
  <c r="AB63" i="51"/>
  <c r="AB67" i="51"/>
  <c r="AA74" i="52"/>
  <c r="AB57" i="53"/>
  <c r="AB58" i="53"/>
  <c r="AB59" i="53"/>
  <c r="AB60" i="53"/>
  <c r="AB61" i="53"/>
  <c r="AB62" i="53"/>
  <c r="AB63" i="53"/>
  <c r="AB64" i="53"/>
  <c r="AB66" i="53"/>
  <c r="AB67" i="53"/>
  <c r="AA74" i="54"/>
  <c r="AA68" i="47"/>
  <c r="AA74" i="47" s="1"/>
  <c r="AA68" i="49"/>
  <c r="AA74" i="49" s="1"/>
  <c r="AA68" i="51"/>
  <c r="AA74" i="51"/>
  <c r="AA68" i="53"/>
  <c r="AA68" i="55"/>
  <c r="AA74" i="55" s="1"/>
  <c r="AB14" i="51"/>
  <c r="AB16" i="51"/>
  <c r="AB18" i="51"/>
  <c r="AB20" i="51"/>
  <c r="AB22" i="51"/>
  <c r="AB24" i="51"/>
  <c r="AB26" i="51"/>
  <c r="AB28" i="51"/>
  <c r="AB30" i="51"/>
  <c r="AB32" i="51"/>
  <c r="AB34" i="51"/>
  <c r="AB36" i="51"/>
  <c r="AB38" i="51"/>
  <c r="AB40" i="51"/>
  <c r="AB42" i="51"/>
  <c r="AB44" i="51"/>
  <c r="AB50" i="51"/>
  <c r="AB52" i="51"/>
  <c r="AB54" i="51"/>
  <c r="AB56" i="51"/>
  <c r="AB58" i="51"/>
  <c r="AB60" i="51"/>
  <c r="AB62" i="51"/>
  <c r="AB64" i="51"/>
  <c r="AB66" i="51"/>
  <c r="I7" i="5"/>
  <c r="I60" i="7"/>
  <c r="V68" i="5"/>
  <c r="V68" i="7"/>
  <c r="V68" i="8"/>
  <c r="V68" i="9"/>
  <c r="V72" i="9" s="1"/>
  <c r="Z72" i="9" s="1"/>
  <c r="AA74" i="57"/>
  <c r="AB25" i="50"/>
  <c r="AB27" i="50"/>
  <c r="AB29" i="50"/>
  <c r="AB31" i="50"/>
  <c r="AB33" i="50"/>
  <c r="AB35" i="50"/>
  <c r="AB37" i="50"/>
  <c r="AB39" i="50"/>
  <c r="AB41" i="50"/>
  <c r="AB43" i="50"/>
  <c r="AB49" i="50"/>
  <c r="AB51" i="50"/>
  <c r="AB55" i="50"/>
  <c r="AB59" i="50"/>
  <c r="AB63" i="50"/>
  <c r="H45" i="5"/>
  <c r="H45" i="7"/>
  <c r="H45" i="8"/>
  <c r="I45" i="5"/>
  <c r="H46" i="5"/>
  <c r="I45" i="7"/>
  <c r="H46" i="7"/>
  <c r="I45" i="8"/>
  <c r="I45" i="9"/>
  <c r="I45" i="10"/>
  <c r="I45" i="11"/>
  <c r="I45" i="12"/>
  <c r="I45" i="13"/>
  <c r="I45" i="14"/>
  <c r="I45" i="15"/>
  <c r="I45" i="16"/>
  <c r="I45" i="17"/>
  <c r="I45" i="18"/>
  <c r="I45" i="19"/>
  <c r="I45" i="20"/>
  <c r="I45" i="21"/>
  <c r="I45" i="22"/>
  <c r="I45" i="23"/>
  <c r="I45" i="24"/>
  <c r="I45" i="25"/>
  <c r="I45" i="26"/>
  <c r="I45" i="27"/>
  <c r="AB12" i="55"/>
  <c r="AB13" i="55"/>
  <c r="AB14" i="55"/>
  <c r="AB15" i="55"/>
  <c r="AB16" i="55"/>
  <c r="AB17" i="55"/>
  <c r="AB18" i="55"/>
  <c r="AB19" i="55"/>
  <c r="AB20" i="55"/>
  <c r="AB21" i="55"/>
  <c r="AB22" i="55"/>
  <c r="AB23" i="55"/>
  <c r="AB24" i="55"/>
  <c r="AB25" i="55"/>
  <c r="AB26" i="55"/>
  <c r="AB27" i="55"/>
  <c r="AB28" i="55"/>
  <c r="AB29" i="55"/>
  <c r="AB30" i="55"/>
  <c r="AB31" i="55"/>
  <c r="AB32" i="55"/>
  <c r="AB33" i="55"/>
  <c r="AB34" i="55"/>
  <c r="AB35" i="55"/>
  <c r="AB37" i="55"/>
  <c r="AB38" i="55"/>
  <c r="AB39" i="55"/>
  <c r="AB40" i="55"/>
  <c r="AB41" i="55"/>
  <c r="AB42" i="55"/>
  <c r="AB43" i="55"/>
  <c r="AB44" i="55"/>
  <c r="AB49" i="55"/>
  <c r="AB50" i="55"/>
  <c r="AB51" i="55"/>
  <c r="AB52" i="55"/>
  <c r="AB53" i="55"/>
  <c r="AB54" i="55"/>
  <c r="AB55" i="55"/>
  <c r="AB56" i="55"/>
  <c r="AB57" i="55"/>
  <c r="AB58" i="55"/>
  <c r="AB59" i="55"/>
  <c r="AB60" i="55"/>
  <c r="AB61" i="55"/>
  <c r="AB62" i="55"/>
  <c r="AB63" i="55"/>
  <c r="AB64" i="55"/>
  <c r="AB66" i="55"/>
  <c r="AB67" i="55"/>
  <c r="AB12" i="54"/>
  <c r="AB13" i="54"/>
  <c r="AB15" i="54"/>
  <c r="AB17" i="54"/>
  <c r="AB19" i="54"/>
  <c r="AB21" i="54"/>
  <c r="AB23" i="54"/>
  <c r="AB25" i="54"/>
  <c r="AB27" i="54"/>
  <c r="AB29" i="54"/>
  <c r="AB31" i="54"/>
  <c r="AB33" i="54"/>
  <c r="AB35" i="54"/>
  <c r="AB37" i="54"/>
  <c r="AB39" i="54"/>
  <c r="AB41" i="54"/>
  <c r="AB43" i="54"/>
  <c r="AB49" i="54"/>
  <c r="AB51" i="54"/>
  <c r="AB53" i="54"/>
  <c r="AB55" i="54"/>
  <c r="AB57" i="54"/>
  <c r="AB12" i="53"/>
  <c r="AB13" i="53"/>
  <c r="AB14" i="53"/>
  <c r="AB15" i="53"/>
  <c r="AB16" i="53"/>
  <c r="AB17" i="53"/>
  <c r="AB18" i="53"/>
  <c r="AB19" i="53"/>
  <c r="AB20" i="53"/>
  <c r="AB21" i="53"/>
  <c r="AB22" i="53"/>
  <c r="AB23" i="53"/>
  <c r="AB24" i="53"/>
  <c r="AB25" i="53"/>
  <c r="AB26" i="53"/>
  <c r="AB27" i="53"/>
  <c r="AB28" i="53"/>
  <c r="AB29" i="53"/>
  <c r="AB30" i="53"/>
  <c r="AB31" i="53"/>
  <c r="AB32" i="53"/>
  <c r="AB33" i="53"/>
  <c r="AB34" i="53"/>
  <c r="AB36" i="53"/>
  <c r="AB37" i="53"/>
  <c r="AB38" i="53"/>
  <c r="AB39" i="53"/>
  <c r="AB40" i="53"/>
  <c r="AB41" i="53"/>
  <c r="AB42" i="53"/>
  <c r="AB43" i="53"/>
  <c r="AB44" i="53"/>
  <c r="AB49" i="53"/>
  <c r="AB50" i="53"/>
  <c r="AB51" i="53"/>
  <c r="AB52" i="53"/>
  <c r="AB53" i="53"/>
  <c r="AB54" i="53"/>
  <c r="AB55" i="53"/>
  <c r="AB56" i="53"/>
  <c r="AB12" i="52"/>
  <c r="AB13" i="52"/>
  <c r="AB14" i="52"/>
  <c r="AB15" i="52"/>
  <c r="AB16" i="52"/>
  <c r="AB17" i="52"/>
  <c r="AB18" i="52"/>
  <c r="AB19" i="52"/>
  <c r="AB20" i="52"/>
  <c r="AB21" i="52"/>
  <c r="AB22" i="52"/>
  <c r="AB23" i="52"/>
  <c r="AB24" i="52"/>
  <c r="AB25" i="52"/>
  <c r="AB26" i="52"/>
  <c r="AB27" i="52"/>
  <c r="AB28" i="52"/>
  <c r="AB29" i="52"/>
  <c r="AB30" i="52"/>
  <c r="AB31" i="52"/>
  <c r="AB32" i="52"/>
  <c r="AB33" i="52"/>
  <c r="AB34" i="52"/>
  <c r="AB35" i="52"/>
  <c r="AB37" i="52"/>
  <c r="AB38" i="52"/>
  <c r="AB39" i="52"/>
  <c r="AB40" i="52"/>
  <c r="AB41" i="52"/>
  <c r="AB42" i="52"/>
  <c r="AB43" i="52"/>
  <c r="AB44" i="52"/>
  <c r="AB49" i="52"/>
  <c r="AB50" i="52"/>
  <c r="AB51" i="52"/>
  <c r="AB52" i="52"/>
  <c r="AB53" i="52"/>
  <c r="AB54" i="52"/>
  <c r="AB55" i="52"/>
  <c r="AB56" i="52"/>
  <c r="AB13" i="50"/>
  <c r="AB15" i="50"/>
  <c r="AB17" i="50"/>
  <c r="AB19" i="50"/>
  <c r="AB21" i="50"/>
  <c r="AB23" i="50"/>
  <c r="AB12" i="51"/>
  <c r="AB13" i="51"/>
  <c r="AB15" i="51"/>
  <c r="AB17" i="51"/>
  <c r="AB19" i="51"/>
  <c r="AB21" i="51"/>
  <c r="AB23" i="51"/>
  <c r="AB25" i="51"/>
  <c r="AB27" i="51"/>
  <c r="AB29" i="51"/>
  <c r="AB31" i="51"/>
  <c r="AB33" i="51"/>
  <c r="AB35" i="51"/>
  <c r="AB37" i="51"/>
  <c r="AB39" i="51"/>
  <c r="AB41" i="51"/>
  <c r="AB43" i="51"/>
  <c r="AB49" i="51"/>
  <c r="AB51" i="51"/>
  <c r="AB53" i="51"/>
  <c r="AB55" i="51"/>
  <c r="AB57" i="51"/>
  <c r="AB59" i="51"/>
  <c r="AB12" i="50"/>
  <c r="AB14" i="50"/>
  <c r="AB16" i="50"/>
  <c r="AB18" i="50"/>
  <c r="AB20" i="50"/>
  <c r="AB22" i="50"/>
  <c r="AB24" i="50"/>
  <c r="AB26" i="50"/>
  <c r="AB28" i="50"/>
  <c r="AB30" i="50"/>
  <c r="AB32" i="50"/>
  <c r="AB34" i="50"/>
  <c r="AB36" i="50"/>
  <c r="AB38" i="50"/>
  <c r="AB40" i="50"/>
  <c r="AB42" i="50"/>
  <c r="AB44" i="50"/>
  <c r="AB12" i="49"/>
  <c r="AB13" i="49"/>
  <c r="AB14" i="49"/>
  <c r="AB15" i="49"/>
  <c r="AB16" i="49"/>
  <c r="AB17" i="49"/>
  <c r="AB18" i="49"/>
  <c r="AB19" i="49"/>
  <c r="AB20" i="49"/>
  <c r="AB21" i="49"/>
  <c r="AB22" i="49"/>
  <c r="AB23" i="49"/>
  <c r="AB24" i="49"/>
  <c r="AB25" i="49"/>
  <c r="AB26" i="49"/>
  <c r="AB27" i="49"/>
  <c r="AB28" i="49"/>
  <c r="AB29" i="49"/>
  <c r="AB30" i="49"/>
  <c r="AB31" i="49"/>
  <c r="AB32" i="49"/>
  <c r="AB33" i="49"/>
  <c r="AB34" i="49"/>
  <c r="AB36" i="49"/>
  <c r="AB37" i="49"/>
  <c r="AB38" i="49"/>
  <c r="AB39" i="49"/>
  <c r="AB40" i="49"/>
  <c r="AB41" i="49"/>
  <c r="AB42" i="49"/>
  <c r="AB43" i="49"/>
  <c r="AB44" i="49"/>
  <c r="AB49" i="49"/>
  <c r="AB50" i="49"/>
  <c r="AB51" i="49"/>
  <c r="AB52" i="49"/>
  <c r="AB53" i="49"/>
  <c r="AB54" i="49"/>
  <c r="AB55" i="49"/>
  <c r="AB12" i="48"/>
  <c r="AB13" i="48"/>
  <c r="AB14" i="48"/>
  <c r="AB15" i="48"/>
  <c r="AB16" i="48"/>
  <c r="AB17" i="48"/>
  <c r="AB18" i="48"/>
  <c r="AB19" i="48"/>
  <c r="AB20" i="48"/>
  <c r="AB21" i="48"/>
  <c r="AB22" i="48"/>
  <c r="AB23" i="48"/>
  <c r="AB24" i="48"/>
  <c r="AB25" i="48"/>
  <c r="AB26" i="48"/>
  <c r="AB27" i="48"/>
  <c r="AB28" i="48"/>
  <c r="AB29" i="48"/>
  <c r="AB30" i="48"/>
  <c r="AB31" i="48"/>
  <c r="AB32" i="48"/>
  <c r="AB33" i="48"/>
  <c r="AB34" i="48"/>
  <c r="AB36" i="48"/>
  <c r="AB37" i="48"/>
  <c r="AB38" i="48"/>
  <c r="AB39" i="48"/>
  <c r="AB40" i="48"/>
  <c r="AB41" i="48"/>
  <c r="AB42" i="48"/>
  <c r="AB43" i="48"/>
  <c r="AB44" i="48"/>
  <c r="AB49" i="48"/>
  <c r="AB50" i="48"/>
  <c r="AB51" i="48"/>
  <c r="AB52" i="48"/>
  <c r="AB53" i="48"/>
  <c r="AB54" i="48"/>
  <c r="AB55" i="48"/>
  <c r="AB56" i="48"/>
  <c r="AB57" i="48"/>
  <c r="AB58" i="48"/>
  <c r="AB59" i="48"/>
  <c r="AB60" i="48"/>
  <c r="AB61" i="48"/>
  <c r="AB62" i="48"/>
  <c r="AB63" i="48"/>
  <c r="AB64" i="48"/>
  <c r="AB66" i="48"/>
  <c r="AB67" i="48"/>
  <c r="I10" i="5"/>
  <c r="U15" i="7"/>
  <c r="I12" i="5"/>
  <c r="U17" i="7"/>
  <c r="I14" i="5"/>
  <c r="U19" i="7"/>
  <c r="I16" i="5"/>
  <c r="U21" i="7"/>
  <c r="I18" i="5"/>
  <c r="U23" i="7"/>
  <c r="I20" i="5"/>
  <c r="I22" i="5"/>
  <c r="U27" i="7"/>
  <c r="I24" i="5"/>
  <c r="U29" i="7"/>
  <c r="I26" i="5"/>
  <c r="U31" i="7"/>
  <c r="I28" i="5"/>
  <c r="U33" i="7"/>
  <c r="I30" i="5"/>
  <c r="U35" i="7"/>
  <c r="I32" i="5"/>
  <c r="U37" i="7"/>
  <c r="I34" i="5"/>
  <c r="U39" i="7"/>
  <c r="I36" i="5"/>
  <c r="U41" i="7"/>
  <c r="I38" i="5"/>
  <c r="U43" i="7"/>
  <c r="I40" i="5"/>
  <c r="I42" i="5"/>
  <c r="I44" i="5"/>
  <c r="U49" i="7"/>
  <c r="U51" i="7"/>
  <c r="I46" i="7" s="1"/>
  <c r="I48" i="5"/>
  <c r="U53" i="7"/>
  <c r="I50" i="5"/>
  <c r="U55" i="7"/>
  <c r="I52" i="5"/>
  <c r="U57" i="7"/>
  <c r="I54" i="5"/>
  <c r="U59" i="7"/>
  <c r="I56" i="5"/>
  <c r="U61" i="7"/>
  <c r="I58" i="5"/>
  <c r="U63" i="7"/>
  <c r="I61" i="5"/>
  <c r="U66" i="7"/>
  <c r="U12" i="36"/>
  <c r="I7" i="35"/>
  <c r="AB36" i="52"/>
  <c r="AB13" i="56"/>
  <c r="AB14" i="56"/>
  <c r="AB15" i="56"/>
  <c r="AB16" i="56"/>
  <c r="AB17" i="56"/>
  <c r="AB18" i="56"/>
  <c r="AB19" i="56"/>
  <c r="AB20" i="56"/>
  <c r="AB21" i="56"/>
  <c r="AB22" i="56"/>
  <c r="AB23" i="56"/>
  <c r="AB24" i="56"/>
  <c r="AB25" i="56"/>
  <c r="AB26" i="56"/>
  <c r="AB27" i="56"/>
  <c r="AB28" i="56"/>
  <c r="AB29" i="56"/>
  <c r="AB30" i="56"/>
  <c r="AB31" i="56"/>
  <c r="AB32" i="56"/>
  <c r="AB33" i="56"/>
  <c r="AB34" i="56"/>
  <c r="AB35" i="56"/>
  <c r="AB37" i="56"/>
  <c r="AB38" i="56"/>
  <c r="AB39" i="56"/>
  <c r="AB40" i="56"/>
  <c r="AB41" i="56"/>
  <c r="AB42" i="56"/>
  <c r="AB43" i="56"/>
  <c r="AB44" i="56"/>
  <c r="AB49" i="56"/>
  <c r="AB50" i="56"/>
  <c r="AB51" i="56"/>
  <c r="AB52" i="56"/>
  <c r="AB53" i="56"/>
  <c r="AB54" i="56"/>
  <c r="AB55" i="56"/>
  <c r="AB56" i="56"/>
  <c r="AB57" i="56"/>
  <c r="AB58" i="56"/>
  <c r="AB59" i="56"/>
  <c r="AB60" i="56"/>
  <c r="AB61" i="56"/>
  <c r="AB62" i="56"/>
  <c r="AB63" i="56"/>
  <c r="AB64" i="56"/>
  <c r="AB66" i="56"/>
  <c r="AB67" i="56"/>
  <c r="I11" i="5"/>
  <c r="I15" i="5"/>
  <c r="I19" i="5"/>
  <c r="I23" i="5"/>
  <c r="I27" i="5"/>
  <c r="I31" i="5"/>
  <c r="I35" i="5"/>
  <c r="I39" i="5"/>
  <c r="I43" i="5"/>
  <c r="I47" i="5"/>
  <c r="I51" i="5"/>
  <c r="I55" i="5"/>
  <c r="I59" i="5"/>
  <c r="I7" i="7"/>
  <c r="I9" i="7"/>
  <c r="I11" i="7"/>
  <c r="I13" i="7"/>
  <c r="I15" i="7"/>
  <c r="I17" i="7"/>
  <c r="I19" i="7"/>
  <c r="I21" i="7"/>
  <c r="I23" i="7"/>
  <c r="I25" i="7"/>
  <c r="I27" i="7"/>
  <c r="I29" i="7"/>
  <c r="I31" i="7"/>
  <c r="I33" i="7"/>
  <c r="I35" i="7"/>
  <c r="I37" i="7"/>
  <c r="I39" i="7"/>
  <c r="I41" i="7"/>
  <c r="I43" i="7"/>
  <c r="I47" i="7"/>
  <c r="I49" i="7"/>
  <c r="I51" i="7"/>
  <c r="I53" i="7"/>
  <c r="I55" i="7"/>
  <c r="I57" i="7"/>
  <c r="I59" i="7"/>
  <c r="I7" i="8"/>
  <c r="I9" i="8"/>
  <c r="I11" i="8"/>
  <c r="I13" i="8"/>
  <c r="I15" i="8"/>
  <c r="I17" i="8"/>
  <c r="I19" i="8"/>
  <c r="I21" i="8"/>
  <c r="I23" i="8"/>
  <c r="I25" i="8"/>
  <c r="I27" i="8"/>
  <c r="I29" i="8"/>
  <c r="I31" i="8"/>
  <c r="I33" i="8"/>
  <c r="I35" i="8"/>
  <c r="I37" i="8"/>
  <c r="I39" i="8"/>
  <c r="I41" i="8"/>
  <c r="I43" i="8"/>
  <c r="I47" i="8"/>
  <c r="I49" i="8"/>
  <c r="I51" i="8"/>
  <c r="I53" i="8"/>
  <c r="I55" i="8"/>
  <c r="I57" i="8"/>
  <c r="I59" i="8"/>
  <c r="I7" i="9"/>
  <c r="I9" i="9"/>
  <c r="I11" i="9"/>
  <c r="I13" i="9"/>
  <c r="I15" i="9"/>
  <c r="I17" i="9"/>
  <c r="I19" i="9"/>
  <c r="I21" i="9"/>
  <c r="I23" i="9"/>
  <c r="I25" i="9"/>
  <c r="I27" i="9"/>
  <c r="I29" i="9"/>
  <c r="I31" i="9"/>
  <c r="I33" i="9"/>
  <c r="I35" i="9"/>
  <c r="I37" i="9"/>
  <c r="I39" i="9"/>
  <c r="I41" i="9"/>
  <c r="I43" i="9"/>
  <c r="I47" i="9"/>
  <c r="I49" i="9"/>
  <c r="I51" i="9"/>
  <c r="I53" i="9"/>
  <c r="I55" i="9"/>
  <c r="I57" i="9"/>
  <c r="I59" i="9"/>
  <c r="I7" i="10"/>
  <c r="I9" i="10"/>
  <c r="I11" i="10"/>
  <c r="I13" i="10"/>
  <c r="I15" i="10"/>
  <c r="I17" i="10"/>
  <c r="I19" i="10"/>
  <c r="I21" i="10"/>
  <c r="I25" i="10"/>
  <c r="I27" i="10"/>
  <c r="I29" i="10"/>
  <c r="I31" i="10"/>
  <c r="I33" i="10"/>
  <c r="I35" i="10"/>
  <c r="I37" i="10"/>
  <c r="I39" i="10"/>
  <c r="I41" i="10"/>
  <c r="I43" i="10"/>
  <c r="I47" i="10"/>
  <c r="I49" i="10"/>
  <c r="I51" i="10"/>
  <c r="I53" i="10"/>
  <c r="I55" i="10"/>
  <c r="I57" i="10"/>
  <c r="I59" i="10"/>
  <c r="I7" i="11"/>
  <c r="I9" i="11"/>
  <c r="I11" i="11"/>
  <c r="I13" i="11"/>
  <c r="I15" i="11"/>
  <c r="I17" i="11"/>
  <c r="I19" i="11"/>
  <c r="I21" i="11"/>
  <c r="I25" i="11"/>
  <c r="I27" i="11"/>
  <c r="I29" i="11"/>
  <c r="I31" i="11"/>
  <c r="I33" i="11"/>
  <c r="I35" i="11"/>
  <c r="I39" i="11"/>
  <c r="I41" i="11"/>
  <c r="I43" i="11"/>
  <c r="I47" i="11"/>
  <c r="I49" i="11"/>
  <c r="I51" i="11"/>
  <c r="I53" i="11"/>
  <c r="I55" i="11"/>
  <c r="I57" i="11"/>
  <c r="I59" i="11"/>
  <c r="I7" i="12"/>
  <c r="I9" i="12"/>
  <c r="I11" i="12"/>
  <c r="I13" i="12"/>
  <c r="I15" i="12"/>
  <c r="I17" i="12"/>
  <c r="I19" i="12"/>
  <c r="I21" i="12"/>
  <c r="I25" i="12"/>
  <c r="I27" i="12"/>
  <c r="I29" i="12"/>
  <c r="I31" i="12"/>
  <c r="I33" i="12"/>
  <c r="I35" i="12"/>
  <c r="I39" i="12"/>
  <c r="I41" i="12"/>
  <c r="I43" i="12"/>
  <c r="I47" i="12"/>
  <c r="I49" i="12"/>
  <c r="I51" i="12"/>
  <c r="I53" i="12"/>
  <c r="I55" i="12"/>
  <c r="I57" i="12"/>
  <c r="I59" i="12"/>
  <c r="I7" i="13"/>
  <c r="I9" i="13"/>
  <c r="I11" i="13"/>
  <c r="I13" i="13"/>
  <c r="I15" i="13"/>
  <c r="I17" i="13"/>
  <c r="I19" i="13"/>
  <c r="I21" i="13"/>
  <c r="I25" i="13"/>
  <c r="I27" i="13"/>
  <c r="I29" i="13"/>
  <c r="I31" i="13"/>
  <c r="I35" i="13"/>
  <c r="I39" i="13"/>
  <c r="I41" i="13"/>
  <c r="I43" i="13"/>
  <c r="I47" i="13"/>
  <c r="I49" i="13"/>
  <c r="I51" i="13"/>
  <c r="I53" i="13"/>
  <c r="I55" i="13"/>
  <c r="I57" i="13"/>
  <c r="I59" i="13"/>
  <c r="I7" i="14"/>
  <c r="I9" i="14"/>
  <c r="I11" i="14"/>
  <c r="I15" i="14"/>
  <c r="I17" i="14"/>
  <c r="I19" i="14"/>
  <c r="I21" i="14"/>
  <c r="I25" i="14"/>
  <c r="I27" i="14"/>
  <c r="I29" i="14"/>
  <c r="I31" i="14"/>
  <c r="I35" i="14"/>
  <c r="I39" i="14"/>
  <c r="I41" i="14"/>
  <c r="I43" i="14"/>
  <c r="I49" i="14"/>
  <c r="I51" i="14"/>
  <c r="I53" i="14"/>
  <c r="I55" i="14"/>
  <c r="I57" i="14"/>
  <c r="I59" i="14"/>
  <c r="I7" i="15"/>
  <c r="I9" i="15"/>
  <c r="I11" i="15"/>
  <c r="I15" i="15"/>
  <c r="I17" i="15"/>
  <c r="I19" i="15"/>
  <c r="I21" i="15"/>
  <c r="I25" i="15"/>
  <c r="I27" i="15"/>
  <c r="I29" i="15"/>
  <c r="I31" i="15"/>
  <c r="I35" i="15"/>
  <c r="I39" i="15"/>
  <c r="I41" i="15"/>
  <c r="I43" i="15"/>
  <c r="I49" i="15"/>
  <c r="I51" i="15"/>
  <c r="I53" i="15"/>
  <c r="I55" i="15"/>
  <c r="I57" i="15"/>
  <c r="I59" i="15"/>
  <c r="I7" i="16"/>
  <c r="I9" i="16"/>
  <c r="I11" i="16"/>
  <c r="I15" i="16"/>
  <c r="I17" i="16"/>
  <c r="I19" i="16"/>
  <c r="I21" i="16"/>
  <c r="I25" i="16"/>
  <c r="I27" i="16"/>
  <c r="I29" i="16"/>
  <c r="I31" i="16"/>
  <c r="I35" i="16"/>
  <c r="I39" i="16"/>
  <c r="I41" i="16"/>
  <c r="I43" i="16"/>
  <c r="I49" i="16"/>
  <c r="I51" i="16"/>
  <c r="I53" i="16"/>
  <c r="I55" i="16"/>
  <c r="I57" i="16"/>
  <c r="I59" i="16"/>
  <c r="I7" i="17"/>
  <c r="I9" i="17"/>
  <c r="I11" i="17"/>
  <c r="I15" i="17"/>
  <c r="I17" i="17"/>
  <c r="I19" i="17"/>
  <c r="I21" i="17"/>
  <c r="I25" i="17"/>
  <c r="I27" i="17"/>
  <c r="I29" i="17"/>
  <c r="I31" i="17"/>
  <c r="I35" i="17"/>
  <c r="I39" i="17"/>
  <c r="I41" i="17"/>
  <c r="I43" i="17"/>
  <c r="I49" i="17"/>
  <c r="I51" i="17"/>
  <c r="I53" i="17"/>
  <c r="I55" i="17"/>
  <c r="I57" i="17"/>
  <c r="I59" i="17"/>
  <c r="I7" i="18"/>
  <c r="I9" i="18"/>
  <c r="I11" i="18"/>
  <c r="I15" i="18"/>
  <c r="I17" i="18"/>
  <c r="I19" i="18"/>
  <c r="I21" i="18"/>
  <c r="I25" i="18"/>
  <c r="I27" i="18"/>
  <c r="I29" i="18"/>
  <c r="I31" i="18"/>
  <c r="I35" i="18"/>
  <c r="I39" i="18"/>
  <c r="I41" i="18"/>
  <c r="I43" i="18"/>
  <c r="I49" i="18"/>
  <c r="I51" i="18"/>
  <c r="I53" i="18"/>
  <c r="I55" i="18"/>
  <c r="I57" i="18"/>
  <c r="I59" i="18"/>
  <c r="I7" i="19"/>
  <c r="I9" i="19"/>
  <c r="I11" i="19"/>
  <c r="I15" i="19"/>
  <c r="I17" i="19"/>
  <c r="I19" i="19"/>
  <c r="I25" i="19"/>
  <c r="I27" i="19"/>
  <c r="I29" i="19"/>
  <c r="I31" i="19"/>
  <c r="I35" i="19"/>
  <c r="I39" i="19"/>
  <c r="I41" i="19"/>
  <c r="I43" i="19"/>
  <c r="I49" i="19"/>
  <c r="I51" i="19"/>
  <c r="I53" i="19"/>
  <c r="I55" i="19"/>
  <c r="I57" i="19"/>
  <c r="I59" i="19"/>
  <c r="I7" i="20"/>
  <c r="I9" i="20"/>
  <c r="I11" i="20"/>
  <c r="I15" i="20"/>
  <c r="I17" i="20"/>
  <c r="I19" i="20"/>
  <c r="I25" i="20"/>
  <c r="I27" i="20"/>
  <c r="I29" i="20"/>
  <c r="I31" i="20"/>
  <c r="I35" i="20"/>
  <c r="I39" i="20"/>
  <c r="I41" i="20"/>
  <c r="I43" i="20"/>
  <c r="I49" i="20"/>
  <c r="I51" i="20"/>
  <c r="I53" i="20"/>
  <c r="I55" i="20"/>
  <c r="I57" i="20"/>
  <c r="I59" i="20"/>
  <c r="I7" i="21"/>
  <c r="I9" i="21"/>
  <c r="I15" i="21"/>
  <c r="I17" i="21"/>
  <c r="I19" i="21"/>
  <c r="I25" i="21"/>
  <c r="I29" i="21"/>
  <c r="I31" i="21"/>
  <c r="I35" i="21"/>
  <c r="I39" i="21"/>
  <c r="I41" i="21"/>
  <c r="I43" i="21"/>
  <c r="I49" i="21"/>
  <c r="I51" i="21"/>
  <c r="I53" i="21"/>
  <c r="I57" i="21"/>
  <c r="I59" i="21"/>
  <c r="I7" i="22"/>
  <c r="I9" i="22"/>
  <c r="I15" i="22"/>
  <c r="I17" i="22"/>
  <c r="I19" i="22"/>
  <c r="I25" i="22"/>
  <c r="I29" i="22"/>
  <c r="I31" i="22"/>
  <c r="I35" i="22"/>
  <c r="I39" i="22"/>
  <c r="I41" i="22"/>
  <c r="I43" i="22"/>
  <c r="I49" i="22"/>
  <c r="I51" i="22"/>
  <c r="I53" i="22"/>
  <c r="I57" i="22"/>
  <c r="I59" i="22"/>
  <c r="I7" i="23"/>
  <c r="I9" i="23"/>
  <c r="I15" i="23"/>
  <c r="I17" i="23"/>
  <c r="I19" i="23"/>
  <c r="I25" i="23"/>
  <c r="I29" i="23"/>
  <c r="I31" i="23"/>
  <c r="I35" i="23"/>
  <c r="I39" i="23"/>
  <c r="I41" i="23"/>
  <c r="I43" i="23"/>
  <c r="I49" i="23"/>
  <c r="I51" i="23"/>
  <c r="I53" i="23"/>
  <c r="I57" i="23"/>
  <c r="I59" i="23"/>
  <c r="I7" i="24"/>
  <c r="I9" i="24"/>
  <c r="I15" i="24"/>
  <c r="I17" i="24"/>
  <c r="I19" i="24"/>
  <c r="I25" i="24"/>
  <c r="I29" i="24"/>
  <c r="I31" i="24"/>
  <c r="I35" i="24"/>
  <c r="I39" i="24"/>
  <c r="I41" i="24"/>
  <c r="I43" i="24"/>
  <c r="I49" i="24"/>
  <c r="I51" i="24"/>
  <c r="I53" i="24"/>
  <c r="I57" i="24"/>
  <c r="I59" i="24"/>
  <c r="I7" i="25"/>
  <c r="I9" i="25"/>
  <c r="I15" i="25"/>
  <c r="I17" i="25"/>
  <c r="I19" i="25"/>
  <c r="I25" i="25"/>
  <c r="I29" i="25"/>
  <c r="I31" i="25"/>
  <c r="I35" i="25"/>
  <c r="I39" i="25"/>
  <c r="I41" i="25"/>
  <c r="I43" i="25"/>
  <c r="I49" i="25"/>
  <c r="I51" i="25"/>
  <c r="I53" i="25"/>
  <c r="I57" i="25"/>
  <c r="I59" i="25"/>
  <c r="I7" i="26"/>
  <c r="I9" i="26"/>
  <c r="I15" i="26"/>
  <c r="I17" i="26"/>
  <c r="I19" i="26"/>
  <c r="I25" i="26"/>
  <c r="I29" i="26"/>
  <c r="I31" i="26"/>
  <c r="I35" i="26"/>
  <c r="I39" i="26"/>
  <c r="I41" i="26"/>
  <c r="I43" i="26"/>
  <c r="I49" i="26"/>
  <c r="I51" i="26"/>
  <c r="I53" i="26"/>
  <c r="I57" i="26"/>
  <c r="I59" i="26"/>
  <c r="I7" i="27"/>
  <c r="I9" i="27"/>
  <c r="I15" i="27"/>
  <c r="I17" i="27"/>
  <c r="I19" i="27"/>
  <c r="I25" i="27"/>
  <c r="I29" i="27"/>
  <c r="I31" i="27"/>
  <c r="I35" i="27"/>
  <c r="I39" i="27"/>
  <c r="I41" i="27"/>
  <c r="I43" i="27"/>
  <c r="I49" i="27"/>
  <c r="I51" i="27"/>
  <c r="I53" i="27"/>
  <c r="I57" i="27"/>
  <c r="I59" i="27"/>
  <c r="I7" i="28"/>
  <c r="I8" i="29"/>
  <c r="I8" i="30"/>
  <c r="I8" i="31"/>
  <c r="I8" i="32"/>
  <c r="I8" i="33"/>
  <c r="I8" i="34"/>
  <c r="I9" i="28"/>
  <c r="U14" i="29"/>
  <c r="I15" i="28"/>
  <c r="U20" i="29"/>
  <c r="I17" i="28"/>
  <c r="U22" i="29"/>
  <c r="I19" i="28"/>
  <c r="U24" i="29"/>
  <c r="I25" i="28"/>
  <c r="U30" i="29"/>
  <c r="I29" i="28"/>
  <c r="U34" i="29"/>
  <c r="I31" i="28"/>
  <c r="U36" i="29"/>
  <c r="U36" i="30" s="1"/>
  <c r="I35" i="28"/>
  <c r="U40" i="29"/>
  <c r="I39" i="28"/>
  <c r="U44" i="29"/>
  <c r="I41" i="28"/>
  <c r="I43" i="28"/>
  <c r="U50" i="29"/>
  <c r="I45" i="29"/>
  <c r="I49" i="28"/>
  <c r="U54" i="29"/>
  <c r="I51" i="28"/>
  <c r="U56" i="29"/>
  <c r="I53" i="28"/>
  <c r="U58" i="29"/>
  <c r="I57" i="28"/>
  <c r="U62" i="29"/>
  <c r="I59" i="28"/>
  <c r="U64" i="29"/>
  <c r="I62" i="5"/>
  <c r="U67" i="7"/>
  <c r="U13" i="36"/>
  <c r="I8" i="35"/>
  <c r="I9" i="5"/>
  <c r="I13" i="5"/>
  <c r="I17" i="5"/>
  <c r="I21" i="5"/>
  <c r="I25" i="5"/>
  <c r="I29" i="5"/>
  <c r="I33" i="5"/>
  <c r="I37" i="5"/>
  <c r="I41" i="5"/>
  <c r="I49" i="5"/>
  <c r="I53" i="5"/>
  <c r="I57" i="5"/>
  <c r="I8" i="7"/>
  <c r="I8" i="8"/>
  <c r="I8" i="9"/>
  <c r="I8" i="10"/>
  <c r="I8" i="11"/>
  <c r="I8" i="12"/>
  <c r="I8" i="13"/>
  <c r="I8" i="14"/>
  <c r="I8" i="15"/>
  <c r="I8" i="16"/>
  <c r="I8" i="17"/>
  <c r="I8" i="18"/>
  <c r="I8" i="19"/>
  <c r="I8" i="20"/>
  <c r="I8" i="21"/>
  <c r="I8" i="22"/>
  <c r="I8" i="23"/>
  <c r="I8" i="24"/>
  <c r="I8" i="25"/>
  <c r="I8" i="26"/>
  <c r="I8" i="27"/>
  <c r="I8" i="28"/>
  <c r="I7" i="29"/>
  <c r="I7" i="30"/>
  <c r="I7" i="31"/>
  <c r="I7" i="32"/>
  <c r="I7" i="33"/>
  <c r="I7" i="34"/>
  <c r="V77" i="56"/>
  <c r="V77" i="54"/>
  <c r="V77" i="52"/>
  <c r="V77" i="50"/>
  <c r="V77" i="48"/>
  <c r="V77" i="46"/>
  <c r="V77" i="57"/>
  <c r="V77" i="55"/>
  <c r="V77" i="53"/>
  <c r="V77" i="51"/>
  <c r="V77" i="49"/>
  <c r="V77" i="47"/>
  <c r="AB12" i="57"/>
  <c r="AB13" i="57"/>
  <c r="AB14" i="57"/>
  <c r="AB15" i="57"/>
  <c r="AB16" i="57"/>
  <c r="AB17" i="57"/>
  <c r="AB18" i="57"/>
  <c r="AB19" i="57"/>
  <c r="AB20" i="57"/>
  <c r="AB21" i="57"/>
  <c r="AB22" i="57"/>
  <c r="AB23" i="57"/>
  <c r="AB24" i="57"/>
  <c r="AB25" i="57"/>
  <c r="AB26" i="57"/>
  <c r="AB27" i="57"/>
  <c r="AB28" i="57"/>
  <c r="AB29" i="57"/>
  <c r="AB30" i="57"/>
  <c r="AB31" i="57"/>
  <c r="AB32" i="57"/>
  <c r="AB33" i="57"/>
  <c r="AB34" i="57"/>
  <c r="AB36" i="57"/>
  <c r="AB37" i="57"/>
  <c r="AB38" i="57"/>
  <c r="AB39" i="57"/>
  <c r="AB40" i="57"/>
  <c r="AB41" i="57"/>
  <c r="AB42" i="57"/>
  <c r="AB43" i="57"/>
  <c r="AB44" i="57"/>
  <c r="AB49" i="57"/>
  <c r="AB50" i="57"/>
  <c r="AB51" i="57"/>
  <c r="AB52" i="57"/>
  <c r="AB53" i="57"/>
  <c r="AB54" i="57"/>
  <c r="AB55" i="57"/>
  <c r="AB56" i="57"/>
  <c r="AB57" i="57"/>
  <c r="AB58" i="57"/>
  <c r="AB59" i="57"/>
  <c r="AB60" i="57"/>
  <c r="AB61" i="57"/>
  <c r="AB62" i="57"/>
  <c r="AB63" i="57"/>
  <c r="AB64" i="57"/>
  <c r="AB66" i="57"/>
  <c r="AB67" i="57"/>
  <c r="AB36" i="55"/>
  <c r="AB12" i="56"/>
  <c r="AB36" i="56"/>
  <c r="H41" i="25"/>
  <c r="H43" i="25"/>
  <c r="V24" i="46"/>
  <c r="V40" i="46"/>
  <c r="V44" i="46"/>
  <c r="R44" i="46" s="1"/>
  <c r="H7" i="5"/>
  <c r="H8" i="7"/>
  <c r="H9" i="7"/>
  <c r="H10" i="7"/>
  <c r="H12" i="7"/>
  <c r="H13" i="7"/>
  <c r="H14" i="7"/>
  <c r="H15" i="7"/>
  <c r="H16" i="7"/>
  <c r="H17" i="7"/>
  <c r="H18" i="7"/>
  <c r="H19" i="7"/>
  <c r="H20" i="7"/>
  <c r="H21" i="7"/>
  <c r="H23" i="7"/>
  <c r="H24" i="7"/>
  <c r="H26" i="7"/>
  <c r="H28" i="7"/>
  <c r="H29" i="7"/>
  <c r="H30" i="7"/>
  <c r="H31" i="7"/>
  <c r="H32" i="7"/>
  <c r="H33" i="7"/>
  <c r="H34" i="7"/>
  <c r="H36" i="7"/>
  <c r="H37" i="7"/>
  <c r="H38" i="7"/>
  <c r="H39" i="7"/>
  <c r="H40" i="7"/>
  <c r="H41" i="7"/>
  <c r="H42" i="7"/>
  <c r="H43" i="7"/>
  <c r="H44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7" i="8"/>
  <c r="H9" i="9"/>
  <c r="H10" i="9"/>
  <c r="H12" i="9"/>
  <c r="H13" i="9"/>
  <c r="H14" i="9"/>
  <c r="H15" i="9"/>
  <c r="H17" i="9"/>
  <c r="H19" i="9"/>
  <c r="H20" i="9"/>
  <c r="H23" i="9"/>
  <c r="H24" i="9"/>
  <c r="H26" i="9"/>
  <c r="H28" i="9"/>
  <c r="H30" i="9"/>
  <c r="H31" i="9"/>
  <c r="H33" i="9"/>
  <c r="H34" i="9"/>
  <c r="H36" i="9"/>
  <c r="H37" i="9"/>
  <c r="H38" i="9"/>
  <c r="H39" i="9"/>
  <c r="H40" i="9"/>
  <c r="H41" i="9"/>
  <c r="H42" i="9"/>
  <c r="H43" i="9"/>
  <c r="H44" i="9"/>
  <c r="H50" i="9"/>
  <c r="H52" i="9"/>
  <c r="H53" i="9"/>
  <c r="H54" i="9"/>
  <c r="H55" i="9"/>
  <c r="H56" i="9"/>
  <c r="H57" i="9"/>
  <c r="H58" i="9"/>
  <c r="H7" i="10"/>
  <c r="H9" i="11"/>
  <c r="H14" i="11"/>
  <c r="H15" i="11"/>
  <c r="H17" i="11"/>
  <c r="H19" i="11"/>
  <c r="H23" i="11"/>
  <c r="H24" i="11"/>
  <c r="H28" i="11"/>
  <c r="H30" i="11"/>
  <c r="H31" i="11"/>
  <c r="H33" i="11"/>
  <c r="H34" i="11"/>
  <c r="H36" i="11"/>
  <c r="H37" i="11"/>
  <c r="H38" i="11"/>
  <c r="H40" i="11"/>
  <c r="H41" i="11"/>
  <c r="H42" i="11"/>
  <c r="H43" i="11"/>
  <c r="H50" i="11"/>
  <c r="H52" i="11"/>
  <c r="H53" i="11"/>
  <c r="H54" i="11"/>
  <c r="H56" i="11"/>
  <c r="H57" i="11"/>
  <c r="H58" i="11"/>
  <c r="H14" i="13"/>
  <c r="H19" i="13"/>
  <c r="H24" i="13"/>
  <c r="H28" i="13"/>
  <c r="H34" i="13"/>
  <c r="H36" i="13"/>
  <c r="H37" i="13"/>
  <c r="H40" i="13"/>
  <c r="H41" i="13"/>
  <c r="H42" i="13"/>
  <c r="H43" i="13"/>
  <c r="H50" i="13"/>
  <c r="H52" i="13"/>
  <c r="H53" i="13"/>
  <c r="H54" i="13"/>
  <c r="H56" i="13"/>
  <c r="H57" i="13"/>
  <c r="H58" i="13"/>
  <c r="H34" i="15"/>
  <c r="H40" i="15"/>
  <c r="H41" i="15"/>
  <c r="H42" i="15"/>
  <c r="H43" i="15"/>
  <c r="H50" i="15"/>
  <c r="H52" i="15"/>
  <c r="H53" i="15"/>
  <c r="H54" i="15"/>
  <c r="H56" i="15"/>
  <c r="H58" i="15"/>
  <c r="H40" i="17"/>
  <c r="H41" i="17"/>
  <c r="H42" i="17"/>
  <c r="H43" i="17"/>
  <c r="H50" i="17"/>
  <c r="H56" i="17"/>
  <c r="H58" i="17"/>
  <c r="H40" i="19"/>
  <c r="H41" i="19"/>
  <c r="H42" i="19"/>
  <c r="H43" i="19"/>
  <c r="H50" i="19"/>
  <c r="H58" i="19"/>
  <c r="H40" i="21"/>
  <c r="H41" i="21"/>
  <c r="H42" i="21"/>
  <c r="H43" i="21"/>
  <c r="H50" i="21"/>
  <c r="H57" i="21"/>
  <c r="H40" i="23"/>
  <c r="H41" i="23"/>
  <c r="H42" i="23"/>
  <c r="H43" i="23"/>
  <c r="H40" i="25"/>
  <c r="H42" i="25"/>
  <c r="V12" i="18"/>
  <c r="V12" i="19" s="1"/>
  <c r="V12" i="20" s="1"/>
  <c r="V12" i="21" s="1"/>
  <c r="V31" i="46"/>
  <c r="V35" i="47"/>
  <c r="V35" i="48" s="1"/>
  <c r="V35" i="49" s="1"/>
  <c r="V35" i="50" s="1"/>
  <c r="V35" i="51" s="1"/>
  <c r="V35" i="52" s="1"/>
  <c r="V35" i="53" s="1"/>
  <c r="V35" i="54" s="1"/>
  <c r="V35" i="55" s="1"/>
  <c r="V35" i="56" s="1"/>
  <c r="V35" i="57" s="1"/>
  <c r="V53" i="46"/>
  <c r="V57" i="46"/>
  <c r="V61" i="46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3" i="5"/>
  <c r="H24" i="5"/>
  <c r="H25" i="5"/>
  <c r="H26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7" i="7"/>
  <c r="H9" i="8"/>
  <c r="H10" i="8"/>
  <c r="H12" i="8"/>
  <c r="H13" i="8"/>
  <c r="H14" i="8"/>
  <c r="H15" i="8"/>
  <c r="H17" i="8"/>
  <c r="H18" i="8"/>
  <c r="H19" i="8"/>
  <c r="H20" i="8"/>
  <c r="H23" i="8"/>
  <c r="H24" i="8"/>
  <c r="H26" i="8"/>
  <c r="H28" i="8"/>
  <c r="H30" i="8"/>
  <c r="H31" i="8"/>
  <c r="H33" i="8"/>
  <c r="H34" i="8"/>
  <c r="H36" i="8"/>
  <c r="H37" i="8"/>
  <c r="H38" i="8"/>
  <c r="H39" i="8"/>
  <c r="H40" i="8"/>
  <c r="H41" i="8"/>
  <c r="H42" i="8"/>
  <c r="H43" i="8"/>
  <c r="H44" i="8"/>
  <c r="H47" i="8"/>
  <c r="H48" i="8"/>
  <c r="H49" i="8"/>
  <c r="H50" i="8"/>
  <c r="H52" i="8"/>
  <c r="H53" i="8"/>
  <c r="H54" i="8"/>
  <c r="H55" i="8"/>
  <c r="H56" i="8"/>
  <c r="H57" i="8"/>
  <c r="H58" i="8"/>
  <c r="H7" i="9"/>
  <c r="H9" i="10"/>
  <c r="H12" i="10"/>
  <c r="H14" i="10"/>
  <c r="H15" i="10"/>
  <c r="H17" i="10"/>
  <c r="H19" i="10"/>
  <c r="H20" i="10"/>
  <c r="H23" i="10"/>
  <c r="H24" i="10"/>
  <c r="H28" i="10"/>
  <c r="H30" i="10"/>
  <c r="H31" i="10"/>
  <c r="H33" i="10"/>
  <c r="H34" i="10"/>
  <c r="H36" i="10"/>
  <c r="H37" i="10"/>
  <c r="H38" i="10"/>
  <c r="H40" i="10"/>
  <c r="H41" i="10"/>
  <c r="H42" i="10"/>
  <c r="H43" i="10"/>
  <c r="H44" i="10"/>
  <c r="H50" i="10"/>
  <c r="H52" i="10"/>
  <c r="H53" i="10"/>
  <c r="H54" i="10"/>
  <c r="H56" i="10"/>
  <c r="H57" i="10"/>
  <c r="H58" i="10"/>
  <c r="H9" i="12"/>
  <c r="H14" i="12"/>
  <c r="H17" i="12"/>
  <c r="H19" i="12"/>
  <c r="H24" i="12"/>
  <c r="H28" i="12"/>
  <c r="H30" i="12"/>
  <c r="H33" i="12"/>
  <c r="H34" i="12"/>
  <c r="H36" i="12"/>
  <c r="H37" i="12"/>
  <c r="H38" i="12"/>
  <c r="H40" i="12"/>
  <c r="H41" i="12"/>
  <c r="H42" i="12"/>
  <c r="H43" i="12"/>
  <c r="H50" i="12"/>
  <c r="H52" i="12"/>
  <c r="H53" i="12"/>
  <c r="H54" i="12"/>
  <c r="H56" i="12"/>
  <c r="H57" i="12"/>
  <c r="H58" i="12"/>
  <c r="H14" i="14"/>
  <c r="H19" i="14"/>
  <c r="H24" i="14"/>
  <c r="H34" i="14"/>
  <c r="H37" i="14"/>
  <c r="H40" i="14"/>
  <c r="H41" i="14"/>
  <c r="H42" i="14"/>
  <c r="H43" i="14"/>
  <c r="H50" i="14"/>
  <c r="H52" i="14"/>
  <c r="H53" i="14"/>
  <c r="H54" i="14"/>
  <c r="H56" i="14"/>
  <c r="H58" i="14"/>
  <c r="H34" i="16"/>
  <c r="H40" i="16"/>
  <c r="H41" i="16"/>
  <c r="H42" i="16"/>
  <c r="H43" i="16"/>
  <c r="H50" i="16"/>
  <c r="H52" i="16"/>
  <c r="H53" i="16"/>
  <c r="H56" i="16"/>
  <c r="H58" i="16"/>
  <c r="H40" i="18"/>
  <c r="H41" i="18"/>
  <c r="H42" i="18"/>
  <c r="H43" i="18"/>
  <c r="H50" i="18"/>
  <c r="H57" i="18"/>
  <c r="H58" i="18"/>
  <c r="H40" i="20"/>
  <c r="H41" i="20"/>
  <c r="H42" i="20"/>
  <c r="H43" i="20"/>
  <c r="H50" i="20"/>
  <c r="H57" i="20"/>
  <c r="H58" i="20"/>
  <c r="H40" i="22"/>
  <c r="H41" i="22"/>
  <c r="H42" i="22"/>
  <c r="H43" i="22"/>
  <c r="H40" i="24"/>
  <c r="H41" i="24"/>
  <c r="H42" i="24"/>
  <c r="H43" i="24"/>
  <c r="AB35" i="57"/>
  <c r="AB35" i="53"/>
  <c r="AB35" i="49"/>
  <c r="AA85" i="57"/>
  <c r="AA70" i="57"/>
  <c r="AB68" i="57"/>
  <c r="AB68" i="56"/>
  <c r="AB68" i="55"/>
  <c r="AA85" i="54"/>
  <c r="AA70" i="54"/>
  <c r="AB68" i="53"/>
  <c r="AA85" i="52"/>
  <c r="AA70" i="52"/>
  <c r="AB68" i="52"/>
  <c r="AB68" i="50"/>
  <c r="AB35" i="48"/>
  <c r="AB12" i="47"/>
  <c r="AB36" i="47"/>
  <c r="AB68" i="48"/>
  <c r="AA27" i="4"/>
  <c r="AA12" i="4"/>
  <c r="AB65" i="40"/>
  <c r="AB65" i="39"/>
  <c r="AB65" i="38"/>
  <c r="AB65" i="37"/>
  <c r="AB65" i="36"/>
  <c r="AB65" i="35"/>
  <c r="AB65" i="34"/>
  <c r="AB65" i="33"/>
  <c r="AB65" i="32"/>
  <c r="AB65" i="31"/>
  <c r="AB65" i="30"/>
  <c r="AB65" i="29"/>
  <c r="AB65" i="28"/>
  <c r="AB65" i="27"/>
  <c r="AB65" i="26"/>
  <c r="AB65" i="25"/>
  <c r="AB65" i="24"/>
  <c r="AB65" i="23"/>
  <c r="AB65" i="22"/>
  <c r="AB65" i="21"/>
  <c r="AB65" i="20"/>
  <c r="AB65" i="19"/>
  <c r="AB65" i="18"/>
  <c r="AB65" i="17"/>
  <c r="AB65" i="16"/>
  <c r="AB65" i="15"/>
  <c r="AB65" i="14"/>
  <c r="AB65" i="13"/>
  <c r="AB65" i="12"/>
  <c r="AB65" i="11"/>
  <c r="AB65" i="10"/>
  <c r="AB65" i="9"/>
  <c r="AB65" i="8"/>
  <c r="AB65" i="7"/>
  <c r="AB65" i="5"/>
  <c r="R74" i="39"/>
  <c r="R74" i="38"/>
  <c r="R74" i="37"/>
  <c r="R74" i="36"/>
  <c r="R74" i="35"/>
  <c r="R74" i="34"/>
  <c r="R74" i="33"/>
  <c r="R74" i="32"/>
  <c r="R74" i="31"/>
  <c r="R74" i="30"/>
  <c r="R74" i="29"/>
  <c r="R74" i="28"/>
  <c r="R74" i="27"/>
  <c r="R74" i="26"/>
  <c r="R74" i="25"/>
  <c r="R74" i="24"/>
  <c r="R74" i="23"/>
  <c r="R74" i="22"/>
  <c r="R74" i="21"/>
  <c r="R74" i="20"/>
  <c r="R74" i="19"/>
  <c r="R74" i="18"/>
  <c r="R74" i="17"/>
  <c r="R73" i="17"/>
  <c r="R74" i="16"/>
  <c r="R73" i="16"/>
  <c r="R74" i="15"/>
  <c r="R73" i="15"/>
  <c r="R74" i="14"/>
  <c r="R73" i="14"/>
  <c r="R74" i="13"/>
  <c r="R73" i="13"/>
  <c r="R74" i="12"/>
  <c r="R73" i="12"/>
  <c r="R74" i="11"/>
  <c r="R73" i="11"/>
  <c r="R74" i="9"/>
  <c r="R73" i="9"/>
  <c r="R74" i="8"/>
  <c r="R73" i="8"/>
  <c r="R74" i="7"/>
  <c r="R73" i="7"/>
  <c r="R73" i="5"/>
  <c r="R74" i="5"/>
  <c r="R62" i="40"/>
  <c r="R61" i="40"/>
  <c r="R57" i="40"/>
  <c r="R53" i="40"/>
  <c r="R52" i="40"/>
  <c r="R44" i="40"/>
  <c r="R40" i="40"/>
  <c r="R35" i="40"/>
  <c r="R31" i="40"/>
  <c r="R30" i="40"/>
  <c r="R24" i="40"/>
  <c r="R23" i="40"/>
  <c r="R20" i="40"/>
  <c r="R19" i="40"/>
  <c r="R13" i="40"/>
  <c r="O80" i="40"/>
  <c r="E80" i="40"/>
  <c r="AA78" i="40"/>
  <c r="V77" i="40"/>
  <c r="AA67" i="40"/>
  <c r="AB67" i="46"/>
  <c r="W67" i="40"/>
  <c r="AA66" i="40"/>
  <c r="AB66" i="46" s="1"/>
  <c r="W66" i="40"/>
  <c r="AA64" i="40"/>
  <c r="AB64" i="46" s="1"/>
  <c r="W64" i="40"/>
  <c r="AA63" i="40"/>
  <c r="AB63" i="46" s="1"/>
  <c r="W63" i="40"/>
  <c r="AA62" i="40"/>
  <c r="AB62" i="46"/>
  <c r="W62" i="40"/>
  <c r="AA61" i="40"/>
  <c r="AB61" i="46" s="1"/>
  <c r="W61" i="40"/>
  <c r="AA60" i="40"/>
  <c r="AB60" i="46" s="1"/>
  <c r="W60" i="40"/>
  <c r="AA59" i="40"/>
  <c r="AB59" i="46"/>
  <c r="W59" i="40"/>
  <c r="AA58" i="40"/>
  <c r="AB58" i="46"/>
  <c r="W58" i="40"/>
  <c r="AA57" i="40"/>
  <c r="AB57" i="46" s="1"/>
  <c r="W57" i="40"/>
  <c r="AA56" i="40"/>
  <c r="AB56" i="46"/>
  <c r="W56" i="40"/>
  <c r="AA55" i="40"/>
  <c r="AB55" i="46" s="1"/>
  <c r="W55" i="40"/>
  <c r="AA54" i="40"/>
  <c r="AB54" i="46"/>
  <c r="W54" i="40"/>
  <c r="AA53" i="40"/>
  <c r="AB53" i="46" s="1"/>
  <c r="W53" i="40"/>
  <c r="AA52" i="40"/>
  <c r="AB52" i="46" s="1"/>
  <c r="W52" i="40"/>
  <c r="AA51" i="40"/>
  <c r="AB51" i="46"/>
  <c r="W51" i="40"/>
  <c r="AA50" i="40"/>
  <c r="AB50" i="46"/>
  <c r="W50" i="40"/>
  <c r="AA49" i="40"/>
  <c r="AB49" i="46" s="1"/>
  <c r="W49" i="40"/>
  <c r="AA44" i="40"/>
  <c r="AB44" i="46" s="1"/>
  <c r="W44" i="40"/>
  <c r="O44" i="40"/>
  <c r="O82" i="40" s="1"/>
  <c r="E44" i="40"/>
  <c r="E82" i="40" s="1"/>
  <c r="AA43" i="40"/>
  <c r="AB43" i="46"/>
  <c r="W43" i="40"/>
  <c r="AA42" i="40"/>
  <c r="AB42" i="46"/>
  <c r="W42" i="40"/>
  <c r="AA41" i="40"/>
  <c r="AB41" i="46" s="1"/>
  <c r="W41" i="40"/>
  <c r="AA40" i="40"/>
  <c r="AB40" i="46" s="1"/>
  <c r="W40" i="40"/>
  <c r="AA39" i="40"/>
  <c r="AB39" i="46" s="1"/>
  <c r="W39" i="40"/>
  <c r="AA38" i="40"/>
  <c r="AB38" i="46"/>
  <c r="W38" i="40"/>
  <c r="AA37" i="40"/>
  <c r="AB37" i="46" s="1"/>
  <c r="W37" i="40"/>
  <c r="AA36" i="40"/>
  <c r="AB35" i="46"/>
  <c r="W36" i="40"/>
  <c r="AA35" i="40"/>
  <c r="W35" i="40"/>
  <c r="AA34" i="40"/>
  <c r="AB34" i="46" s="1"/>
  <c r="W34" i="40"/>
  <c r="AA33" i="40"/>
  <c r="AB33" i="46" s="1"/>
  <c r="W33" i="40"/>
  <c r="AA32" i="40"/>
  <c r="AB32" i="46"/>
  <c r="W32" i="40"/>
  <c r="AA31" i="40"/>
  <c r="AB31" i="46"/>
  <c r="W31" i="40"/>
  <c r="AA30" i="40"/>
  <c r="AB30" i="46" s="1"/>
  <c r="W30" i="40"/>
  <c r="AA29" i="40"/>
  <c r="AB29" i="46" s="1"/>
  <c r="W29" i="40"/>
  <c r="AA28" i="40"/>
  <c r="AB28" i="46" s="1"/>
  <c r="W28" i="40"/>
  <c r="AA27" i="40"/>
  <c r="AB27" i="46"/>
  <c r="W27" i="40"/>
  <c r="AA26" i="40"/>
  <c r="AB26" i="46" s="1"/>
  <c r="W26" i="40"/>
  <c r="AA25" i="40"/>
  <c r="AB25" i="46" s="1"/>
  <c r="W25" i="40"/>
  <c r="AA24" i="40"/>
  <c r="AB24" i="46"/>
  <c r="W24" i="40"/>
  <c r="AA23" i="40"/>
  <c r="AB23" i="46"/>
  <c r="W23" i="40"/>
  <c r="AA22" i="40"/>
  <c r="AB22" i="46" s="1"/>
  <c r="W22" i="40"/>
  <c r="AA21" i="40"/>
  <c r="AB21" i="46"/>
  <c r="W21" i="40"/>
  <c r="AA20" i="40"/>
  <c r="AB20" i="46" s="1"/>
  <c r="W20" i="40"/>
  <c r="AA19" i="40"/>
  <c r="AB19" i="46"/>
  <c r="W19" i="40"/>
  <c r="AA18" i="40"/>
  <c r="AB18" i="46" s="1"/>
  <c r="W18" i="40"/>
  <c r="AA17" i="40"/>
  <c r="AB17" i="46" s="1"/>
  <c r="W17" i="40"/>
  <c r="AA16" i="40"/>
  <c r="AB16" i="46"/>
  <c r="W16" i="40"/>
  <c r="AA15" i="40"/>
  <c r="AB15" i="46"/>
  <c r="W15" i="40"/>
  <c r="AA14" i="40"/>
  <c r="AB14" i="46" s="1"/>
  <c r="W14" i="40"/>
  <c r="AA13" i="40"/>
  <c r="W13" i="40"/>
  <c r="AA12" i="40"/>
  <c r="W12" i="40"/>
  <c r="V5" i="40"/>
  <c r="U83" i="40" s="1"/>
  <c r="V3" i="40"/>
  <c r="U81" i="40"/>
  <c r="O3" i="40"/>
  <c r="E3" i="40"/>
  <c r="O2" i="40"/>
  <c r="E2" i="40"/>
  <c r="R62" i="39"/>
  <c r="R61" i="39"/>
  <c r="R57" i="39"/>
  <c r="R53" i="39"/>
  <c r="R52" i="39"/>
  <c r="R44" i="39"/>
  <c r="R41" i="39"/>
  <c r="R40" i="39"/>
  <c r="R35" i="39"/>
  <c r="R31" i="39"/>
  <c r="R30" i="39"/>
  <c r="R24" i="39"/>
  <c r="R23" i="39"/>
  <c r="R20" i="39"/>
  <c r="R19" i="39"/>
  <c r="R13" i="39"/>
  <c r="O80" i="39"/>
  <c r="E80" i="39"/>
  <c r="AA78" i="39"/>
  <c r="V77" i="39"/>
  <c r="AA67" i="39"/>
  <c r="W67" i="39"/>
  <c r="AA66" i="39"/>
  <c r="W66" i="39"/>
  <c r="AA64" i="39"/>
  <c r="W64" i="39"/>
  <c r="AA63" i="39"/>
  <c r="W63" i="39"/>
  <c r="AA62" i="39"/>
  <c r="W62" i="39"/>
  <c r="AA61" i="39"/>
  <c r="W61" i="39"/>
  <c r="AA60" i="39"/>
  <c r="W60" i="39"/>
  <c r="AA59" i="39"/>
  <c r="W59" i="39"/>
  <c r="AA58" i="39"/>
  <c r="W58" i="39"/>
  <c r="AA57" i="39"/>
  <c r="W57" i="39"/>
  <c r="AA56" i="39"/>
  <c r="W56" i="39"/>
  <c r="AA55" i="39"/>
  <c r="W55" i="39"/>
  <c r="AA54" i="39"/>
  <c r="W54" i="39"/>
  <c r="AA53" i="39"/>
  <c r="W53" i="39"/>
  <c r="AA52" i="39"/>
  <c r="W52" i="39"/>
  <c r="AA51" i="39"/>
  <c r="W51" i="39"/>
  <c r="AA50" i="39"/>
  <c r="W50" i="39"/>
  <c r="AA49" i="39"/>
  <c r="W49" i="39"/>
  <c r="AA44" i="39"/>
  <c r="W44" i="39"/>
  <c r="O44" i="39"/>
  <c r="E44" i="39"/>
  <c r="E82" i="39" s="1"/>
  <c r="AA43" i="39"/>
  <c r="W43" i="39"/>
  <c r="AA42" i="39"/>
  <c r="W42" i="39"/>
  <c r="AA41" i="39"/>
  <c r="W41" i="39"/>
  <c r="AA40" i="39"/>
  <c r="W40" i="39"/>
  <c r="AA39" i="39"/>
  <c r="W39" i="39"/>
  <c r="AA38" i="39"/>
  <c r="W38" i="39"/>
  <c r="AA37" i="39"/>
  <c r="W37" i="39"/>
  <c r="AA36" i="39"/>
  <c r="W36" i="39"/>
  <c r="AA35" i="39"/>
  <c r="W35" i="39"/>
  <c r="AA34" i="39"/>
  <c r="W34" i="39"/>
  <c r="AA33" i="39"/>
  <c r="W33" i="39"/>
  <c r="AA32" i="39"/>
  <c r="W32" i="39"/>
  <c r="AA31" i="39"/>
  <c r="W31" i="39"/>
  <c r="AA30" i="39"/>
  <c r="W30" i="39"/>
  <c r="AA29" i="39"/>
  <c r="W29" i="39"/>
  <c r="AA28" i="39"/>
  <c r="W28" i="39"/>
  <c r="AA27" i="39"/>
  <c r="W27" i="39"/>
  <c r="AA26" i="39"/>
  <c r="W26" i="39"/>
  <c r="AA25" i="39"/>
  <c r="W25" i="39"/>
  <c r="AA24" i="39"/>
  <c r="W24" i="39"/>
  <c r="AA23" i="39"/>
  <c r="W23" i="39"/>
  <c r="AA22" i="39"/>
  <c r="W22" i="39"/>
  <c r="AA21" i="39"/>
  <c r="W21" i="39"/>
  <c r="AA20" i="39"/>
  <c r="W20" i="39"/>
  <c r="AA19" i="39"/>
  <c r="W19" i="39"/>
  <c r="AA18" i="39"/>
  <c r="W18" i="39"/>
  <c r="AA17" i="39"/>
  <c r="W17" i="39"/>
  <c r="AA16" i="39"/>
  <c r="W16" i="39"/>
  <c r="AA15" i="39"/>
  <c r="W15" i="39"/>
  <c r="AA14" i="39"/>
  <c r="W14" i="39"/>
  <c r="AA13" i="39"/>
  <c r="W13" i="39"/>
  <c r="AA12" i="39"/>
  <c r="W12" i="39"/>
  <c r="V5" i="39"/>
  <c r="U83" i="39" s="1"/>
  <c r="V3" i="39"/>
  <c r="U81" i="39"/>
  <c r="O3" i="39"/>
  <c r="E3" i="39"/>
  <c r="O2" i="39"/>
  <c r="E2" i="39"/>
  <c r="R62" i="38"/>
  <c r="R61" i="38"/>
  <c r="R57" i="38"/>
  <c r="R53" i="38"/>
  <c r="R52" i="38"/>
  <c r="R44" i="38"/>
  <c r="R41" i="38"/>
  <c r="R40" i="38"/>
  <c r="R35" i="38"/>
  <c r="R31" i="38"/>
  <c r="R30" i="38"/>
  <c r="R24" i="38"/>
  <c r="R23" i="38"/>
  <c r="R20" i="38"/>
  <c r="R19" i="38"/>
  <c r="R13" i="38"/>
  <c r="O80" i="38"/>
  <c r="E80" i="38"/>
  <c r="AA78" i="38"/>
  <c r="V77" i="38"/>
  <c r="AA67" i="38"/>
  <c r="W67" i="38"/>
  <c r="AA66" i="38"/>
  <c r="W66" i="38"/>
  <c r="AA64" i="38"/>
  <c r="W64" i="38"/>
  <c r="AA63" i="38"/>
  <c r="W63" i="38"/>
  <c r="AA62" i="38"/>
  <c r="W62" i="38"/>
  <c r="AA61" i="38"/>
  <c r="W61" i="38"/>
  <c r="AA60" i="38"/>
  <c r="W60" i="38"/>
  <c r="AA59" i="38"/>
  <c r="W59" i="38"/>
  <c r="AA58" i="38"/>
  <c r="W58" i="38"/>
  <c r="AA57" i="38"/>
  <c r="W57" i="38"/>
  <c r="AA56" i="38"/>
  <c r="W56" i="38"/>
  <c r="AA55" i="38"/>
  <c r="W55" i="38"/>
  <c r="AA54" i="38"/>
  <c r="W54" i="38"/>
  <c r="AA53" i="38"/>
  <c r="W53" i="38"/>
  <c r="AA52" i="38"/>
  <c r="W52" i="38"/>
  <c r="AA51" i="38"/>
  <c r="W51" i="38"/>
  <c r="AA50" i="38"/>
  <c r="W50" i="38"/>
  <c r="AA49" i="38"/>
  <c r="W49" i="38"/>
  <c r="AA44" i="38"/>
  <c r="W44" i="38"/>
  <c r="O44" i="38"/>
  <c r="O82" i="38"/>
  <c r="E44" i="38"/>
  <c r="E82" i="38"/>
  <c r="AA43" i="38"/>
  <c r="W43" i="38"/>
  <c r="AA42" i="38"/>
  <c r="W42" i="38"/>
  <c r="AA41" i="38"/>
  <c r="W41" i="38"/>
  <c r="AA40" i="38"/>
  <c r="W40" i="38"/>
  <c r="AA39" i="38"/>
  <c r="W39" i="38"/>
  <c r="AA38" i="38"/>
  <c r="W38" i="38"/>
  <c r="AA37" i="38"/>
  <c r="W37" i="38"/>
  <c r="AA36" i="38"/>
  <c r="W36" i="38"/>
  <c r="AA35" i="38"/>
  <c r="W35" i="38"/>
  <c r="AA34" i="38"/>
  <c r="W34" i="38"/>
  <c r="AA33" i="38"/>
  <c r="W33" i="38"/>
  <c r="AA32" i="38"/>
  <c r="W32" i="38"/>
  <c r="AA31" i="38"/>
  <c r="W31" i="38"/>
  <c r="AA30" i="38"/>
  <c r="W30" i="38"/>
  <c r="AA29" i="38"/>
  <c r="W29" i="38"/>
  <c r="AA28" i="38"/>
  <c r="W28" i="38"/>
  <c r="AA27" i="38"/>
  <c r="W27" i="38"/>
  <c r="AA26" i="38"/>
  <c r="W26" i="38"/>
  <c r="AA25" i="38"/>
  <c r="W25" i="38"/>
  <c r="AA24" i="38"/>
  <c r="W24" i="38"/>
  <c r="AA23" i="38"/>
  <c r="W23" i="38"/>
  <c r="AA22" i="38"/>
  <c r="W22" i="38"/>
  <c r="AA21" i="38"/>
  <c r="W21" i="38"/>
  <c r="AA20" i="38"/>
  <c r="W20" i="38"/>
  <c r="AA19" i="38"/>
  <c r="W19" i="38"/>
  <c r="AA18" i="38"/>
  <c r="W18" i="38"/>
  <c r="AA17" i="38"/>
  <c r="W17" i="38"/>
  <c r="AA16" i="38"/>
  <c r="W16" i="38"/>
  <c r="AA15" i="38"/>
  <c r="W15" i="38"/>
  <c r="AA14" i="38"/>
  <c r="W14" i="38"/>
  <c r="AA13" i="38"/>
  <c r="W13" i="38"/>
  <c r="AA12" i="38"/>
  <c r="W12" i="38"/>
  <c r="W68" i="38" s="1"/>
  <c r="V5" i="38"/>
  <c r="U83" i="38"/>
  <c r="V3" i="38"/>
  <c r="U81" i="38"/>
  <c r="O3" i="38"/>
  <c r="E3" i="38"/>
  <c r="O2" i="38"/>
  <c r="E2" i="38"/>
  <c r="R62" i="37"/>
  <c r="R61" i="37"/>
  <c r="R57" i="37"/>
  <c r="R53" i="37"/>
  <c r="R52" i="37"/>
  <c r="R44" i="37"/>
  <c r="R41" i="37"/>
  <c r="R40" i="37"/>
  <c r="R35" i="37"/>
  <c r="R31" i="37"/>
  <c r="R30" i="37"/>
  <c r="R24" i="37"/>
  <c r="R23" i="37"/>
  <c r="R20" i="37"/>
  <c r="R19" i="37"/>
  <c r="R13" i="37"/>
  <c r="O80" i="37"/>
  <c r="E80" i="37"/>
  <c r="AA78" i="37"/>
  <c r="V77" i="37"/>
  <c r="AA67" i="37"/>
  <c r="W67" i="37"/>
  <c r="AA66" i="37"/>
  <c r="W66" i="37"/>
  <c r="AA64" i="37"/>
  <c r="W64" i="37"/>
  <c r="AA63" i="37"/>
  <c r="W63" i="37"/>
  <c r="AA62" i="37"/>
  <c r="W62" i="37"/>
  <c r="AA61" i="37"/>
  <c r="W61" i="37"/>
  <c r="AA60" i="37"/>
  <c r="W60" i="37"/>
  <c r="AA59" i="37"/>
  <c r="W59" i="37"/>
  <c r="AA58" i="37"/>
  <c r="W58" i="37"/>
  <c r="AA57" i="37"/>
  <c r="W57" i="37"/>
  <c r="AA56" i="37"/>
  <c r="W56" i="37"/>
  <c r="AA55" i="37"/>
  <c r="W55" i="37"/>
  <c r="AA54" i="37"/>
  <c r="W54" i="37"/>
  <c r="AA53" i="37"/>
  <c r="W53" i="37"/>
  <c r="AA52" i="37"/>
  <c r="W52" i="37"/>
  <c r="AA51" i="37"/>
  <c r="W51" i="37"/>
  <c r="AA50" i="37"/>
  <c r="W50" i="37"/>
  <c r="AA49" i="37"/>
  <c r="W49" i="37"/>
  <c r="AA44" i="37"/>
  <c r="W44" i="37"/>
  <c r="O44" i="37"/>
  <c r="O82" i="37"/>
  <c r="E44" i="37"/>
  <c r="E82" i="37"/>
  <c r="AA43" i="37"/>
  <c r="W43" i="37"/>
  <c r="AA42" i="37"/>
  <c r="W42" i="37"/>
  <c r="AA41" i="37"/>
  <c r="W41" i="37"/>
  <c r="AA40" i="37"/>
  <c r="W40" i="37"/>
  <c r="AA39" i="37"/>
  <c r="W39" i="37"/>
  <c r="AA38" i="37"/>
  <c r="W38" i="37"/>
  <c r="AA37" i="37"/>
  <c r="W37" i="37"/>
  <c r="AA36" i="37"/>
  <c r="W36" i="37"/>
  <c r="AA35" i="37"/>
  <c r="W35" i="37"/>
  <c r="AA34" i="37"/>
  <c r="W34" i="37"/>
  <c r="AA33" i="37"/>
  <c r="W33" i="37"/>
  <c r="AA32" i="37"/>
  <c r="W32" i="37"/>
  <c r="AA31" i="37"/>
  <c r="W31" i="37"/>
  <c r="AA30" i="37"/>
  <c r="W30" i="37"/>
  <c r="AA29" i="37"/>
  <c r="W29" i="37"/>
  <c r="AA28" i="37"/>
  <c r="W28" i="37"/>
  <c r="AA27" i="37"/>
  <c r="W27" i="37"/>
  <c r="AA26" i="37"/>
  <c r="W26" i="37"/>
  <c r="AA25" i="37"/>
  <c r="W25" i="37"/>
  <c r="AA24" i="37"/>
  <c r="W24" i="37"/>
  <c r="AA23" i="37"/>
  <c r="W23" i="37"/>
  <c r="AA22" i="37"/>
  <c r="W22" i="37"/>
  <c r="AA21" i="37"/>
  <c r="W21" i="37"/>
  <c r="AA20" i="37"/>
  <c r="W20" i="37"/>
  <c r="AA19" i="37"/>
  <c r="W19" i="37"/>
  <c r="AA18" i="37"/>
  <c r="W18" i="37"/>
  <c r="AA17" i="37"/>
  <c r="W17" i="37"/>
  <c r="AA16" i="37"/>
  <c r="W16" i="37"/>
  <c r="AA15" i="37"/>
  <c r="W15" i="37"/>
  <c r="AA14" i="37"/>
  <c r="W14" i="37"/>
  <c r="AA13" i="37"/>
  <c r="W13" i="37"/>
  <c r="AA12" i="37"/>
  <c r="W12" i="37"/>
  <c r="V5" i="37"/>
  <c r="U83" i="37"/>
  <c r="V3" i="37"/>
  <c r="U81" i="37"/>
  <c r="O3" i="37"/>
  <c r="E3" i="37"/>
  <c r="O2" i="37"/>
  <c r="E2" i="37"/>
  <c r="R62" i="36"/>
  <c r="R61" i="36"/>
  <c r="R57" i="36"/>
  <c r="R53" i="36"/>
  <c r="R52" i="36"/>
  <c r="R44" i="36"/>
  <c r="R41" i="36"/>
  <c r="R40" i="36"/>
  <c r="R35" i="36"/>
  <c r="R31" i="36"/>
  <c r="R30" i="36"/>
  <c r="R24" i="36"/>
  <c r="R23" i="36"/>
  <c r="R20" i="36"/>
  <c r="R19" i="36"/>
  <c r="R13" i="36"/>
  <c r="O80" i="36"/>
  <c r="O82" i="36" s="1"/>
  <c r="E80" i="36"/>
  <c r="E82" i="36" s="1"/>
  <c r="AA78" i="36"/>
  <c r="V77" i="36"/>
  <c r="AA67" i="36"/>
  <c r="W67" i="36"/>
  <c r="AA66" i="36"/>
  <c r="W66" i="36"/>
  <c r="AA64" i="36"/>
  <c r="W64" i="36"/>
  <c r="AA63" i="36"/>
  <c r="W63" i="36"/>
  <c r="AA62" i="36"/>
  <c r="W62" i="36"/>
  <c r="AA61" i="36"/>
  <c r="W61" i="36"/>
  <c r="AA60" i="36"/>
  <c r="W60" i="36"/>
  <c r="AA59" i="36"/>
  <c r="W59" i="36"/>
  <c r="AA58" i="36"/>
  <c r="W58" i="36"/>
  <c r="AA57" i="36"/>
  <c r="W57" i="36"/>
  <c r="AA56" i="36"/>
  <c r="W56" i="36"/>
  <c r="AA55" i="36"/>
  <c r="W55" i="36"/>
  <c r="AA54" i="36"/>
  <c r="W54" i="36"/>
  <c r="AA53" i="36"/>
  <c r="W53" i="36"/>
  <c r="AA52" i="36"/>
  <c r="W52" i="36"/>
  <c r="AA51" i="36"/>
  <c r="W51" i="36"/>
  <c r="AA50" i="36"/>
  <c r="W50" i="36"/>
  <c r="AA49" i="36"/>
  <c r="W49" i="36"/>
  <c r="AA44" i="36"/>
  <c r="W44" i="36"/>
  <c r="O44" i="36"/>
  <c r="E44" i="36"/>
  <c r="AA43" i="36"/>
  <c r="W43" i="36"/>
  <c r="AA42" i="36"/>
  <c r="W42" i="36"/>
  <c r="AA41" i="36"/>
  <c r="W41" i="36"/>
  <c r="AA40" i="36"/>
  <c r="W40" i="36"/>
  <c r="AA39" i="36"/>
  <c r="W39" i="36"/>
  <c r="AA38" i="36"/>
  <c r="W38" i="36"/>
  <c r="AA37" i="36"/>
  <c r="W37" i="36"/>
  <c r="AA36" i="36"/>
  <c r="W36" i="36"/>
  <c r="AA35" i="36"/>
  <c r="W35" i="36"/>
  <c r="AA34" i="36"/>
  <c r="W34" i="36"/>
  <c r="AA33" i="36"/>
  <c r="W33" i="36"/>
  <c r="AA32" i="36"/>
  <c r="W32" i="36"/>
  <c r="AA31" i="36"/>
  <c r="W31" i="36"/>
  <c r="AA30" i="36"/>
  <c r="W30" i="36"/>
  <c r="AA29" i="36"/>
  <c r="W29" i="36"/>
  <c r="AA28" i="36"/>
  <c r="W28" i="36"/>
  <c r="AA27" i="36"/>
  <c r="W27" i="36"/>
  <c r="AA26" i="36"/>
  <c r="W26" i="36"/>
  <c r="AA25" i="36"/>
  <c r="W25" i="36"/>
  <c r="AA24" i="36"/>
  <c r="W24" i="36"/>
  <c r="AA23" i="36"/>
  <c r="W23" i="36"/>
  <c r="AA22" i="36"/>
  <c r="W22" i="36"/>
  <c r="AA21" i="36"/>
  <c r="W21" i="36"/>
  <c r="AA20" i="36"/>
  <c r="W20" i="36"/>
  <c r="AA19" i="36"/>
  <c r="W19" i="36"/>
  <c r="AA18" i="36"/>
  <c r="W18" i="36"/>
  <c r="AA17" i="36"/>
  <c r="W17" i="36"/>
  <c r="AA16" i="36"/>
  <c r="W16" i="36"/>
  <c r="AA15" i="36"/>
  <c r="W15" i="36"/>
  <c r="AA14" i="36"/>
  <c r="W14" i="36"/>
  <c r="AA13" i="36"/>
  <c r="W13" i="36"/>
  <c r="AA12" i="36"/>
  <c r="W12" i="36"/>
  <c r="V5" i="36"/>
  <c r="U83" i="36"/>
  <c r="V3" i="36"/>
  <c r="U81" i="36"/>
  <c r="O3" i="36"/>
  <c r="E3" i="36"/>
  <c r="O2" i="36"/>
  <c r="E2" i="36"/>
  <c r="R62" i="35"/>
  <c r="R61" i="35"/>
  <c r="R57" i="35"/>
  <c r="R53" i="35"/>
  <c r="R52" i="35"/>
  <c r="R44" i="35"/>
  <c r="R41" i="35"/>
  <c r="R40" i="35"/>
  <c r="R35" i="35"/>
  <c r="R31" i="35"/>
  <c r="R30" i="35"/>
  <c r="R24" i="35"/>
  <c r="R23" i="35"/>
  <c r="R20" i="35"/>
  <c r="R19" i="35"/>
  <c r="R13" i="35"/>
  <c r="O80" i="35"/>
  <c r="E80" i="35"/>
  <c r="AA78" i="35"/>
  <c r="V77" i="35"/>
  <c r="AA67" i="35"/>
  <c r="W67" i="35"/>
  <c r="AA66" i="35"/>
  <c r="W66" i="35"/>
  <c r="AA64" i="35"/>
  <c r="W64" i="35"/>
  <c r="AA63" i="35"/>
  <c r="W63" i="35"/>
  <c r="AA62" i="35"/>
  <c r="W62" i="35"/>
  <c r="AA61" i="35"/>
  <c r="W61" i="35"/>
  <c r="AA60" i="35"/>
  <c r="W60" i="35"/>
  <c r="AA59" i="35"/>
  <c r="W59" i="35"/>
  <c r="AA58" i="35"/>
  <c r="W58" i="35"/>
  <c r="AA57" i="35"/>
  <c r="W57" i="35"/>
  <c r="AA56" i="35"/>
  <c r="W56" i="35"/>
  <c r="AA55" i="35"/>
  <c r="W55" i="35"/>
  <c r="AA54" i="35"/>
  <c r="W54" i="35"/>
  <c r="AA53" i="35"/>
  <c r="W53" i="35"/>
  <c r="AA52" i="35"/>
  <c r="W52" i="35"/>
  <c r="AA51" i="35"/>
  <c r="W51" i="35"/>
  <c r="AA50" i="35"/>
  <c r="W50" i="35"/>
  <c r="AA49" i="35"/>
  <c r="W49" i="35"/>
  <c r="AA44" i="35"/>
  <c r="W44" i="35"/>
  <c r="O44" i="35"/>
  <c r="O82" i="35"/>
  <c r="E44" i="35"/>
  <c r="E82" i="35"/>
  <c r="AA43" i="35"/>
  <c r="AB43" i="36" s="1"/>
  <c r="W43" i="35"/>
  <c r="AA42" i="35"/>
  <c r="W42" i="35"/>
  <c r="AA41" i="35"/>
  <c r="W41" i="35"/>
  <c r="AA40" i="35"/>
  <c r="W40" i="35"/>
  <c r="AA39" i="35"/>
  <c r="W39" i="35"/>
  <c r="AA38" i="35"/>
  <c r="W38" i="35"/>
  <c r="AA37" i="35"/>
  <c r="W37" i="35"/>
  <c r="AA36" i="35"/>
  <c r="W36" i="35"/>
  <c r="AA35" i="35"/>
  <c r="AB35" i="36" s="1"/>
  <c r="W35" i="35"/>
  <c r="AA34" i="35"/>
  <c r="W34" i="35"/>
  <c r="AA33" i="35"/>
  <c r="W33" i="35"/>
  <c r="AA32" i="35"/>
  <c r="W32" i="35"/>
  <c r="AA31" i="35"/>
  <c r="W31" i="35"/>
  <c r="AA30" i="35"/>
  <c r="W30" i="35"/>
  <c r="AA29" i="35"/>
  <c r="W29" i="35"/>
  <c r="AA28" i="35"/>
  <c r="W28" i="35"/>
  <c r="AA27" i="35"/>
  <c r="AB27" i="36" s="1"/>
  <c r="W27" i="35"/>
  <c r="AA26" i="35"/>
  <c r="W26" i="35"/>
  <c r="AA25" i="35"/>
  <c r="W25" i="35"/>
  <c r="AA24" i="35"/>
  <c r="W24" i="35"/>
  <c r="AA23" i="35"/>
  <c r="W23" i="35"/>
  <c r="AA22" i="35"/>
  <c r="W22" i="35"/>
  <c r="AA21" i="35"/>
  <c r="W21" i="35"/>
  <c r="AA20" i="35"/>
  <c r="W20" i="35"/>
  <c r="AA19" i="35"/>
  <c r="AB19" i="36" s="1"/>
  <c r="W19" i="35"/>
  <c r="AA18" i="35"/>
  <c r="W18" i="35"/>
  <c r="AA17" i="35"/>
  <c r="W17" i="35"/>
  <c r="AA16" i="35"/>
  <c r="W16" i="35"/>
  <c r="AA15" i="35"/>
  <c r="AA68" i="35" s="1"/>
  <c r="W15" i="35"/>
  <c r="AA14" i="35"/>
  <c r="W14" i="35"/>
  <c r="AA13" i="35"/>
  <c r="W13" i="35"/>
  <c r="AA12" i="35"/>
  <c r="W12" i="35"/>
  <c r="W68" i="35"/>
  <c r="V5" i="35"/>
  <c r="U83" i="35"/>
  <c r="V3" i="35"/>
  <c r="U81" i="35" s="1"/>
  <c r="O3" i="35"/>
  <c r="E3" i="35"/>
  <c r="O2" i="35"/>
  <c r="E2" i="35"/>
  <c r="R62" i="34"/>
  <c r="R61" i="34"/>
  <c r="R57" i="34"/>
  <c r="R53" i="34"/>
  <c r="R52" i="34"/>
  <c r="R44" i="34"/>
  <c r="R41" i="34"/>
  <c r="R40" i="34"/>
  <c r="R35" i="34"/>
  <c r="R31" i="34"/>
  <c r="R30" i="34"/>
  <c r="R25" i="34"/>
  <c r="R24" i="34"/>
  <c r="R23" i="34"/>
  <c r="R20" i="34"/>
  <c r="R19" i="34"/>
  <c r="R13" i="34"/>
  <c r="O80" i="34"/>
  <c r="E80" i="34"/>
  <c r="AA78" i="34"/>
  <c r="V77" i="34"/>
  <c r="AA67" i="34"/>
  <c r="W67" i="34"/>
  <c r="AA66" i="34"/>
  <c r="W66" i="34"/>
  <c r="AA64" i="34"/>
  <c r="W64" i="34"/>
  <c r="AA63" i="34"/>
  <c r="W63" i="34"/>
  <c r="AB63" i="34" s="1"/>
  <c r="AA62" i="34"/>
  <c r="W62" i="34"/>
  <c r="AA61" i="34"/>
  <c r="W61" i="34"/>
  <c r="AA60" i="34"/>
  <c r="W60" i="34"/>
  <c r="AA59" i="34"/>
  <c r="W59" i="34"/>
  <c r="AB59" i="34" s="1"/>
  <c r="AA58" i="34"/>
  <c r="W58" i="34"/>
  <c r="AA57" i="34"/>
  <c r="W57" i="34"/>
  <c r="AA56" i="34"/>
  <c r="W56" i="34"/>
  <c r="AA55" i="34"/>
  <c r="W55" i="34"/>
  <c r="AB55" i="34" s="1"/>
  <c r="AA54" i="34"/>
  <c r="W54" i="34"/>
  <c r="AA53" i="34"/>
  <c r="W53" i="34"/>
  <c r="AA52" i="34"/>
  <c r="W52" i="34"/>
  <c r="AA51" i="34"/>
  <c r="W51" i="34"/>
  <c r="AB51" i="34" s="1"/>
  <c r="AA50" i="34"/>
  <c r="W50" i="34"/>
  <c r="AA49" i="34"/>
  <c r="W49" i="34"/>
  <c r="AA44" i="34"/>
  <c r="W44" i="34"/>
  <c r="O44" i="34"/>
  <c r="O82" i="34"/>
  <c r="E44" i="34"/>
  <c r="E82" i="34"/>
  <c r="AA43" i="34"/>
  <c r="W43" i="34"/>
  <c r="AA42" i="34"/>
  <c r="W42" i="34"/>
  <c r="AA41" i="34"/>
  <c r="W41" i="34"/>
  <c r="AB41" i="34" s="1"/>
  <c r="AA40" i="34"/>
  <c r="W40" i="34"/>
  <c r="AA39" i="34"/>
  <c r="W39" i="34"/>
  <c r="AA38" i="34"/>
  <c r="W38" i="34"/>
  <c r="AA37" i="34"/>
  <c r="W37" i="34"/>
  <c r="AA36" i="34"/>
  <c r="W36" i="34"/>
  <c r="AA35" i="34"/>
  <c r="W35" i="34"/>
  <c r="AA34" i="34"/>
  <c r="W34" i="34"/>
  <c r="AA33" i="34"/>
  <c r="W33" i="34"/>
  <c r="AB33" i="34" s="1"/>
  <c r="AA32" i="34"/>
  <c r="W32" i="34"/>
  <c r="AA31" i="34"/>
  <c r="W31" i="34"/>
  <c r="AA30" i="34"/>
  <c r="W30" i="34"/>
  <c r="AA29" i="34"/>
  <c r="W29" i="34"/>
  <c r="AA28" i="34"/>
  <c r="W28" i="34"/>
  <c r="AA27" i="34"/>
  <c r="W27" i="34"/>
  <c r="AA26" i="34"/>
  <c r="W26" i="34"/>
  <c r="AA25" i="34"/>
  <c r="W25" i="34"/>
  <c r="AB25" i="34" s="1"/>
  <c r="AA24" i="34"/>
  <c r="W24" i="34"/>
  <c r="AA23" i="34"/>
  <c r="W23" i="34"/>
  <c r="AA22" i="34"/>
  <c r="W22" i="34"/>
  <c r="AA21" i="34"/>
  <c r="W21" i="34"/>
  <c r="AA20" i="34"/>
  <c r="W20" i="34"/>
  <c r="AA19" i="34"/>
  <c r="W19" i="34"/>
  <c r="AA18" i="34"/>
  <c r="W18" i="34"/>
  <c r="AA17" i="34"/>
  <c r="W17" i="34"/>
  <c r="AB17" i="34" s="1"/>
  <c r="AA16" i="34"/>
  <c r="W16" i="34"/>
  <c r="AA15" i="34"/>
  <c r="W15" i="34"/>
  <c r="AA14" i="34"/>
  <c r="W14" i="34"/>
  <c r="AA13" i="34"/>
  <c r="W13" i="34"/>
  <c r="W68" i="34" s="1"/>
  <c r="W74" i="34" s="1"/>
  <c r="AA12" i="34"/>
  <c r="W12" i="34"/>
  <c r="V5" i="34"/>
  <c r="U83" i="34" s="1"/>
  <c r="V3" i="34"/>
  <c r="U81" i="34"/>
  <c r="O3" i="34"/>
  <c r="E3" i="34"/>
  <c r="O2" i="34"/>
  <c r="E2" i="34"/>
  <c r="R62" i="33"/>
  <c r="R61" i="33"/>
  <c r="R57" i="33"/>
  <c r="R53" i="33"/>
  <c r="R52" i="33"/>
  <c r="R50" i="33"/>
  <c r="R44" i="33"/>
  <c r="R41" i="33"/>
  <c r="R40" i="33"/>
  <c r="R38" i="33"/>
  <c r="R35" i="33"/>
  <c r="R31" i="33"/>
  <c r="R30" i="33"/>
  <c r="R25" i="33"/>
  <c r="R24" i="33"/>
  <c r="R23" i="33"/>
  <c r="R20" i="33"/>
  <c r="R19" i="33"/>
  <c r="R13" i="33"/>
  <c r="O80" i="33"/>
  <c r="O82" i="33" s="1"/>
  <c r="E80" i="33"/>
  <c r="E82" i="33" s="1"/>
  <c r="AA78" i="33"/>
  <c r="V77" i="33"/>
  <c r="AA67" i="33"/>
  <c r="W67" i="33"/>
  <c r="AA66" i="33"/>
  <c r="W66" i="33"/>
  <c r="AA64" i="33"/>
  <c r="W64" i="33"/>
  <c r="AB64" i="33" s="1"/>
  <c r="AA63" i="33"/>
  <c r="W63" i="33"/>
  <c r="AA62" i="33"/>
  <c r="W62" i="33"/>
  <c r="AA61" i="33"/>
  <c r="W61" i="33"/>
  <c r="AA60" i="33"/>
  <c r="W60" i="33"/>
  <c r="AB60" i="33" s="1"/>
  <c r="AA59" i="33"/>
  <c r="W59" i="33"/>
  <c r="AA58" i="33"/>
  <c r="W58" i="33"/>
  <c r="AA57" i="33"/>
  <c r="W57" i="33"/>
  <c r="AA56" i="33"/>
  <c r="W56" i="33"/>
  <c r="AB56" i="33" s="1"/>
  <c r="AA55" i="33"/>
  <c r="W55" i="33"/>
  <c r="AA54" i="33"/>
  <c r="W54" i="33"/>
  <c r="AA53" i="33"/>
  <c r="W53" i="33"/>
  <c r="AA52" i="33"/>
  <c r="W52" i="33"/>
  <c r="AB52" i="33" s="1"/>
  <c r="AA51" i="33"/>
  <c r="W51" i="33"/>
  <c r="AA50" i="33"/>
  <c r="W50" i="33"/>
  <c r="AA49" i="33"/>
  <c r="W49" i="33"/>
  <c r="AA44" i="33"/>
  <c r="W44" i="33"/>
  <c r="O44" i="33"/>
  <c r="E44" i="33"/>
  <c r="AA43" i="33"/>
  <c r="W43" i="33"/>
  <c r="AA42" i="33"/>
  <c r="W42" i="33"/>
  <c r="AA41" i="33"/>
  <c r="W41" i="33"/>
  <c r="AA40" i="33"/>
  <c r="W40" i="33"/>
  <c r="AA39" i="33"/>
  <c r="W39" i="33"/>
  <c r="AA38" i="33"/>
  <c r="W38" i="33"/>
  <c r="AA37" i="33"/>
  <c r="W37" i="33"/>
  <c r="AA36" i="33"/>
  <c r="W36" i="33"/>
  <c r="AA35" i="33"/>
  <c r="W35" i="33"/>
  <c r="AA34" i="33"/>
  <c r="W34" i="33"/>
  <c r="AA33" i="33"/>
  <c r="W33" i="33"/>
  <c r="AA32" i="33"/>
  <c r="W32" i="33"/>
  <c r="AA31" i="33"/>
  <c r="W31" i="33"/>
  <c r="AA30" i="33"/>
  <c r="W30" i="33"/>
  <c r="AA29" i="33"/>
  <c r="W29" i="33"/>
  <c r="AA28" i="33"/>
  <c r="W28" i="33"/>
  <c r="AA27" i="33"/>
  <c r="W27" i="33"/>
  <c r="AA26" i="33"/>
  <c r="W26" i="33"/>
  <c r="AA25" i="33"/>
  <c r="W25" i="33"/>
  <c r="AA24" i="33"/>
  <c r="W24" i="33"/>
  <c r="AA23" i="33"/>
  <c r="W23" i="33"/>
  <c r="AA22" i="33"/>
  <c r="W22" i="33"/>
  <c r="AA21" i="33"/>
  <c r="W21" i="33"/>
  <c r="AA20" i="33"/>
  <c r="W20" i="33"/>
  <c r="AA19" i="33"/>
  <c r="W19" i="33"/>
  <c r="AA18" i="33"/>
  <c r="W18" i="33"/>
  <c r="AA17" i="33"/>
  <c r="W17" i="33"/>
  <c r="AA16" i="33"/>
  <c r="W16" i="33"/>
  <c r="AA15" i="33"/>
  <c r="W15" i="33"/>
  <c r="AA14" i="33"/>
  <c r="W14" i="33"/>
  <c r="AA13" i="33"/>
  <c r="W13" i="33"/>
  <c r="AA12" i="33"/>
  <c r="W12" i="33"/>
  <c r="V5" i="33"/>
  <c r="U83" i="33"/>
  <c r="V3" i="33"/>
  <c r="U81" i="33" s="1"/>
  <c r="O3" i="33"/>
  <c r="E3" i="33"/>
  <c r="O2" i="33"/>
  <c r="E2" i="33"/>
  <c r="R62" i="32"/>
  <c r="R61" i="32"/>
  <c r="R57" i="32"/>
  <c r="R53" i="32"/>
  <c r="R52" i="32"/>
  <c r="R50" i="32"/>
  <c r="R44" i="32"/>
  <c r="R41" i="32"/>
  <c r="R40" i="32"/>
  <c r="R38" i="32"/>
  <c r="R35" i="32"/>
  <c r="R31" i="32"/>
  <c r="R30" i="32"/>
  <c r="R25" i="32"/>
  <c r="R24" i="32"/>
  <c r="R23" i="32"/>
  <c r="R20" i="32"/>
  <c r="R19" i="32"/>
  <c r="R13" i="32"/>
  <c r="O80" i="32"/>
  <c r="E80" i="32"/>
  <c r="AA78" i="32"/>
  <c r="V77" i="32"/>
  <c r="AA67" i="32"/>
  <c r="W67" i="32"/>
  <c r="AA66" i="32"/>
  <c r="W66" i="32"/>
  <c r="AA64" i="32"/>
  <c r="W64" i="32"/>
  <c r="AA63" i="32"/>
  <c r="W63" i="32"/>
  <c r="AA62" i="32"/>
  <c r="W62" i="32"/>
  <c r="AA61" i="32"/>
  <c r="W61" i="32"/>
  <c r="AA60" i="32"/>
  <c r="W60" i="32"/>
  <c r="AA59" i="32"/>
  <c r="W59" i="32"/>
  <c r="AA58" i="32"/>
  <c r="W58" i="32"/>
  <c r="AA57" i="32"/>
  <c r="W57" i="32"/>
  <c r="AA56" i="32"/>
  <c r="W56" i="32"/>
  <c r="AA55" i="32"/>
  <c r="W55" i="32"/>
  <c r="AA54" i="32"/>
  <c r="W54" i="32"/>
  <c r="AA53" i="32"/>
  <c r="W53" i="32"/>
  <c r="AA52" i="32"/>
  <c r="W52" i="32"/>
  <c r="AA51" i="32"/>
  <c r="W51" i="32"/>
  <c r="AA50" i="32"/>
  <c r="W50" i="32"/>
  <c r="AA49" i="32"/>
  <c r="W49" i="32"/>
  <c r="AA44" i="32"/>
  <c r="W44" i="32"/>
  <c r="O44" i="32"/>
  <c r="O82" i="32"/>
  <c r="E44" i="32"/>
  <c r="E82" i="32"/>
  <c r="AA43" i="32"/>
  <c r="AB43" i="33" s="1"/>
  <c r="W43" i="32"/>
  <c r="AA42" i="32"/>
  <c r="W42" i="32"/>
  <c r="AA41" i="32"/>
  <c r="W41" i="32"/>
  <c r="AA40" i="32"/>
  <c r="W40" i="32"/>
  <c r="AA39" i="32"/>
  <c r="W39" i="32"/>
  <c r="AA38" i="32"/>
  <c r="W38" i="32"/>
  <c r="AA37" i="32"/>
  <c r="W37" i="32"/>
  <c r="AA36" i="32"/>
  <c r="W36" i="32"/>
  <c r="AA35" i="32"/>
  <c r="AB35" i="33" s="1"/>
  <c r="W35" i="32"/>
  <c r="AA34" i="32"/>
  <c r="W34" i="32"/>
  <c r="AA33" i="32"/>
  <c r="W33" i="32"/>
  <c r="AA32" i="32"/>
  <c r="W32" i="32"/>
  <c r="AA31" i="32"/>
  <c r="W31" i="32"/>
  <c r="AA30" i="32"/>
  <c r="W30" i="32"/>
  <c r="AA29" i="32"/>
  <c r="W29" i="32"/>
  <c r="AA28" i="32"/>
  <c r="W28" i="32"/>
  <c r="AA27" i="32"/>
  <c r="AB27" i="33" s="1"/>
  <c r="W27" i="32"/>
  <c r="AA26" i="32"/>
  <c r="W26" i="32"/>
  <c r="AA25" i="32"/>
  <c r="W25" i="32"/>
  <c r="AA24" i="32"/>
  <c r="W24" i="32"/>
  <c r="AA23" i="32"/>
  <c r="W23" i="32"/>
  <c r="AA22" i="32"/>
  <c r="W22" i="32"/>
  <c r="AA21" i="32"/>
  <c r="W21" i="32"/>
  <c r="AA20" i="32"/>
  <c r="W20" i="32"/>
  <c r="AA19" i="32"/>
  <c r="AB19" i="33" s="1"/>
  <c r="W19" i="32"/>
  <c r="AA18" i="32"/>
  <c r="W18" i="32"/>
  <c r="AA17" i="32"/>
  <c r="W17" i="32"/>
  <c r="AA16" i="32"/>
  <c r="W16" i="32"/>
  <c r="AA15" i="32"/>
  <c r="AA68" i="32" s="1"/>
  <c r="AA74" i="32" s="1"/>
  <c r="W15" i="32"/>
  <c r="AA14" i="32"/>
  <c r="W14" i="32"/>
  <c r="AA13" i="32"/>
  <c r="W13" i="32"/>
  <c r="AA12" i="32"/>
  <c r="W12" i="32"/>
  <c r="W68" i="32"/>
  <c r="V5" i="32"/>
  <c r="U83" i="32" s="1"/>
  <c r="V3" i="32"/>
  <c r="U81" i="32" s="1"/>
  <c r="O3" i="32"/>
  <c r="E3" i="32"/>
  <c r="O2" i="32"/>
  <c r="E2" i="32"/>
  <c r="R62" i="31"/>
  <c r="R61" i="31"/>
  <c r="R57" i="31"/>
  <c r="R53" i="31"/>
  <c r="R52" i="31"/>
  <c r="R50" i="31"/>
  <c r="R44" i="31"/>
  <c r="R41" i="31"/>
  <c r="R40" i="31"/>
  <c r="R38" i="31"/>
  <c r="R35" i="31"/>
  <c r="R31" i="31"/>
  <c r="R30" i="31"/>
  <c r="R25" i="31"/>
  <c r="R24" i="31"/>
  <c r="R23" i="31"/>
  <c r="R20" i="31"/>
  <c r="R19" i="31"/>
  <c r="R13" i="31"/>
  <c r="O80" i="31"/>
  <c r="E80" i="31"/>
  <c r="AA78" i="31"/>
  <c r="V77" i="31"/>
  <c r="AA67" i="31"/>
  <c r="AB67" i="32" s="1"/>
  <c r="W67" i="31"/>
  <c r="AA66" i="31"/>
  <c r="W66" i="31"/>
  <c r="AA64" i="31"/>
  <c r="W64" i="31"/>
  <c r="AA63" i="31"/>
  <c r="W63" i="31"/>
  <c r="AA62" i="31"/>
  <c r="AB62" i="32" s="1"/>
  <c r="W62" i="31"/>
  <c r="AA61" i="31"/>
  <c r="W61" i="31"/>
  <c r="AA60" i="31"/>
  <c r="W60" i="31"/>
  <c r="AA59" i="31"/>
  <c r="W59" i="31"/>
  <c r="AA58" i="31"/>
  <c r="AB58" i="32" s="1"/>
  <c r="W58" i="31"/>
  <c r="AA57" i="31"/>
  <c r="W57" i="31"/>
  <c r="AA56" i="31"/>
  <c r="W56" i="31"/>
  <c r="AA55" i="31"/>
  <c r="W55" i="31"/>
  <c r="AA54" i="31"/>
  <c r="AB54" i="32" s="1"/>
  <c r="W54" i="31"/>
  <c r="AA53" i="31"/>
  <c r="W53" i="31"/>
  <c r="AA52" i="31"/>
  <c r="W52" i="31"/>
  <c r="AA51" i="31"/>
  <c r="W51" i="31"/>
  <c r="AA50" i="31"/>
  <c r="W50" i="31"/>
  <c r="AA49" i="31"/>
  <c r="W49" i="31"/>
  <c r="AA44" i="31"/>
  <c r="W44" i="31"/>
  <c r="O44" i="31"/>
  <c r="O82" i="31"/>
  <c r="E44" i="31"/>
  <c r="E82" i="31" s="1"/>
  <c r="AA43" i="31"/>
  <c r="W43" i="31"/>
  <c r="AA42" i="31"/>
  <c r="W42" i="31"/>
  <c r="AA41" i="31"/>
  <c r="W41" i="31"/>
  <c r="AA40" i="31"/>
  <c r="W40" i="31"/>
  <c r="AA39" i="31"/>
  <c r="W39" i="31"/>
  <c r="AA38" i="31"/>
  <c r="W38" i="31"/>
  <c r="AA37" i="31"/>
  <c r="W37" i="31"/>
  <c r="AA36" i="31"/>
  <c r="W36" i="31"/>
  <c r="AA35" i="31"/>
  <c r="W35" i="31"/>
  <c r="AA34" i="31"/>
  <c r="W34" i="31"/>
  <c r="AA33" i="31"/>
  <c r="W33" i="31"/>
  <c r="AA32" i="31"/>
  <c r="W32" i="31"/>
  <c r="AA31" i="31"/>
  <c r="W31" i="31"/>
  <c r="AA30" i="31"/>
  <c r="W30" i="31"/>
  <c r="AA29" i="31"/>
  <c r="W29" i="31"/>
  <c r="AA28" i="31"/>
  <c r="W28" i="31"/>
  <c r="AA27" i="31"/>
  <c r="W27" i="31"/>
  <c r="AA26" i="31"/>
  <c r="W26" i="31"/>
  <c r="AA25" i="31"/>
  <c r="W25" i="31"/>
  <c r="AA24" i="31"/>
  <c r="W24" i="31"/>
  <c r="AA23" i="31"/>
  <c r="W23" i="31"/>
  <c r="AA22" i="31"/>
  <c r="W22" i="31"/>
  <c r="AA21" i="31"/>
  <c r="W21" i="31"/>
  <c r="AA20" i="31"/>
  <c r="W20" i="31"/>
  <c r="AA19" i="31"/>
  <c r="W19" i="31"/>
  <c r="AA18" i="31"/>
  <c r="W18" i="31"/>
  <c r="AA17" i="31"/>
  <c r="W17" i="31"/>
  <c r="AA16" i="31"/>
  <c r="W16" i="31"/>
  <c r="AA15" i="31"/>
  <c r="W15" i="31"/>
  <c r="AA14" i="31"/>
  <c r="W14" i="31"/>
  <c r="AA13" i="31"/>
  <c r="W13" i="31"/>
  <c r="W68" i="31" s="1"/>
  <c r="AA12" i="31"/>
  <c r="W12" i="31"/>
  <c r="V5" i="31"/>
  <c r="U83" i="31" s="1"/>
  <c r="V3" i="31"/>
  <c r="U81" i="31"/>
  <c r="O3" i="31"/>
  <c r="E3" i="31"/>
  <c r="O2" i="31"/>
  <c r="E2" i="31"/>
  <c r="R62" i="30"/>
  <c r="R61" i="30"/>
  <c r="R57" i="30"/>
  <c r="R55" i="30"/>
  <c r="R53" i="30"/>
  <c r="R52" i="30"/>
  <c r="R50" i="30"/>
  <c r="R44" i="30"/>
  <c r="R41" i="30"/>
  <c r="R40" i="30"/>
  <c r="R38" i="30"/>
  <c r="R35" i="30"/>
  <c r="R31" i="30"/>
  <c r="R30" i="30"/>
  <c r="R25" i="30"/>
  <c r="R24" i="30"/>
  <c r="R23" i="30"/>
  <c r="R20" i="30"/>
  <c r="R19" i="30"/>
  <c r="R13" i="30"/>
  <c r="O80" i="30"/>
  <c r="E80" i="30"/>
  <c r="AA78" i="30"/>
  <c r="V77" i="30"/>
  <c r="AA67" i="30"/>
  <c r="W67" i="30"/>
  <c r="AA66" i="30"/>
  <c r="W66" i="30"/>
  <c r="AA64" i="30"/>
  <c r="W64" i="30"/>
  <c r="AA63" i="30"/>
  <c r="W63" i="30"/>
  <c r="AA62" i="30"/>
  <c r="W62" i="30"/>
  <c r="AA61" i="30"/>
  <c r="W61" i="30"/>
  <c r="AA60" i="30"/>
  <c r="W60" i="30"/>
  <c r="AA59" i="30"/>
  <c r="W59" i="30"/>
  <c r="AA58" i="30"/>
  <c r="W58" i="30"/>
  <c r="AA57" i="30"/>
  <c r="W57" i="30"/>
  <c r="AA56" i="30"/>
  <c r="W56" i="30"/>
  <c r="AA55" i="30"/>
  <c r="W55" i="30"/>
  <c r="AA54" i="30"/>
  <c r="W54" i="30"/>
  <c r="AA53" i="30"/>
  <c r="W53" i="30"/>
  <c r="AA52" i="30"/>
  <c r="W52" i="30"/>
  <c r="AA51" i="30"/>
  <c r="W51" i="30"/>
  <c r="AA50" i="30"/>
  <c r="W50" i="30"/>
  <c r="AA49" i="30"/>
  <c r="W49" i="30"/>
  <c r="AA44" i="30"/>
  <c r="W44" i="30"/>
  <c r="O44" i="30"/>
  <c r="O82" i="30" s="1"/>
  <c r="E44" i="30"/>
  <c r="E82" i="30" s="1"/>
  <c r="AA43" i="30"/>
  <c r="W43" i="30"/>
  <c r="AA42" i="30"/>
  <c r="W42" i="30"/>
  <c r="AA41" i="30"/>
  <c r="W41" i="30"/>
  <c r="AA40" i="30"/>
  <c r="W40" i="30"/>
  <c r="AA39" i="30"/>
  <c r="W39" i="30"/>
  <c r="AA38" i="30"/>
  <c r="W38" i="30"/>
  <c r="AA37" i="30"/>
  <c r="W37" i="30"/>
  <c r="AA36" i="30"/>
  <c r="W36" i="30"/>
  <c r="AA35" i="30"/>
  <c r="W35" i="30"/>
  <c r="AA34" i="30"/>
  <c r="W34" i="30"/>
  <c r="AA33" i="30"/>
  <c r="W33" i="30"/>
  <c r="AA32" i="30"/>
  <c r="W32" i="30"/>
  <c r="AA31" i="30"/>
  <c r="W31" i="30"/>
  <c r="AA30" i="30"/>
  <c r="W30" i="30"/>
  <c r="AA29" i="30"/>
  <c r="W29" i="30"/>
  <c r="AA28" i="30"/>
  <c r="W28" i="30"/>
  <c r="AA27" i="30"/>
  <c r="W27" i="30"/>
  <c r="AA26" i="30"/>
  <c r="W26" i="30"/>
  <c r="AA25" i="30"/>
  <c r="W25" i="30"/>
  <c r="AA24" i="30"/>
  <c r="W24" i="30"/>
  <c r="AA23" i="30"/>
  <c r="W23" i="30"/>
  <c r="AA22" i="30"/>
  <c r="W22" i="30"/>
  <c r="AA21" i="30"/>
  <c r="W21" i="30"/>
  <c r="AA20" i="30"/>
  <c r="W20" i="30"/>
  <c r="AA19" i="30"/>
  <c r="W19" i="30"/>
  <c r="AA18" i="30"/>
  <c r="W18" i="30"/>
  <c r="AA17" i="30"/>
  <c r="W17" i="30"/>
  <c r="AA16" i="30"/>
  <c r="W16" i="30"/>
  <c r="AA15" i="30"/>
  <c r="W15" i="30"/>
  <c r="AA14" i="30"/>
  <c r="W14" i="30"/>
  <c r="AA13" i="30"/>
  <c r="W13" i="30"/>
  <c r="AA12" i="30"/>
  <c r="W12" i="30"/>
  <c r="V5" i="30"/>
  <c r="U83" i="30"/>
  <c r="V3" i="30"/>
  <c r="U81" i="30"/>
  <c r="O3" i="30"/>
  <c r="E3" i="30"/>
  <c r="O2" i="30"/>
  <c r="E2" i="30"/>
  <c r="R62" i="29"/>
  <c r="R61" i="29"/>
  <c r="R57" i="29"/>
  <c r="R55" i="29"/>
  <c r="R53" i="29"/>
  <c r="R52" i="29"/>
  <c r="R50" i="29"/>
  <c r="R44" i="29"/>
  <c r="R41" i="29"/>
  <c r="R40" i="29"/>
  <c r="R38" i="29"/>
  <c r="R35" i="29"/>
  <c r="R31" i="29"/>
  <c r="R30" i="29"/>
  <c r="R25" i="29"/>
  <c r="R24" i="29"/>
  <c r="R23" i="29"/>
  <c r="R20" i="29"/>
  <c r="R19" i="29"/>
  <c r="R13" i="29"/>
  <c r="O80" i="29"/>
  <c r="E80" i="29"/>
  <c r="AA78" i="29"/>
  <c r="V77" i="29"/>
  <c r="AA67" i="29"/>
  <c r="W67" i="29"/>
  <c r="AA66" i="29"/>
  <c r="W66" i="29"/>
  <c r="AA64" i="29"/>
  <c r="W64" i="29"/>
  <c r="AA63" i="29"/>
  <c r="W63" i="29"/>
  <c r="AA62" i="29"/>
  <c r="W62" i="29"/>
  <c r="AA61" i="29"/>
  <c r="W61" i="29"/>
  <c r="AA60" i="29"/>
  <c r="W60" i="29"/>
  <c r="AA59" i="29"/>
  <c r="W59" i="29"/>
  <c r="AA58" i="29"/>
  <c r="W58" i="29"/>
  <c r="AA57" i="29"/>
  <c r="W57" i="29"/>
  <c r="AA56" i="29"/>
  <c r="W56" i="29"/>
  <c r="AA55" i="29"/>
  <c r="W55" i="29"/>
  <c r="AA54" i="29"/>
  <c r="W54" i="29"/>
  <c r="AA53" i="29"/>
  <c r="W53" i="29"/>
  <c r="AA52" i="29"/>
  <c r="W52" i="29"/>
  <c r="AA51" i="29"/>
  <c r="W51" i="29"/>
  <c r="AA50" i="29"/>
  <c r="W50" i="29"/>
  <c r="AA49" i="29"/>
  <c r="W49" i="29"/>
  <c r="AA44" i="29"/>
  <c r="W44" i="29"/>
  <c r="O44" i="29"/>
  <c r="E44" i="29"/>
  <c r="E82" i="29" s="1"/>
  <c r="AA43" i="29"/>
  <c r="W43" i="29"/>
  <c r="AA42" i="29"/>
  <c r="W42" i="29"/>
  <c r="AA41" i="29"/>
  <c r="W41" i="29"/>
  <c r="AA40" i="29"/>
  <c r="W40" i="29"/>
  <c r="AA39" i="29"/>
  <c r="W39" i="29"/>
  <c r="AA38" i="29"/>
  <c r="W38" i="29"/>
  <c r="AA37" i="29"/>
  <c r="W37" i="29"/>
  <c r="AA36" i="29"/>
  <c r="W36" i="29"/>
  <c r="AA35" i="29"/>
  <c r="W35" i="29"/>
  <c r="AA34" i="29"/>
  <c r="W34" i="29"/>
  <c r="AA33" i="29"/>
  <c r="W33" i="29"/>
  <c r="AA32" i="29"/>
  <c r="W32" i="29"/>
  <c r="AA31" i="29"/>
  <c r="W31" i="29"/>
  <c r="AA30" i="29"/>
  <c r="W30" i="29"/>
  <c r="AA29" i="29"/>
  <c r="W29" i="29"/>
  <c r="AA28" i="29"/>
  <c r="W28" i="29"/>
  <c r="AA27" i="29"/>
  <c r="W27" i="29"/>
  <c r="AA26" i="29"/>
  <c r="W26" i="29"/>
  <c r="AA25" i="29"/>
  <c r="W25" i="29"/>
  <c r="AA24" i="29"/>
  <c r="W24" i="29"/>
  <c r="AA23" i="29"/>
  <c r="W23" i="29"/>
  <c r="AA22" i="29"/>
  <c r="W22" i="29"/>
  <c r="AA21" i="29"/>
  <c r="W21" i="29"/>
  <c r="AA20" i="29"/>
  <c r="W20" i="29"/>
  <c r="AA19" i="29"/>
  <c r="W19" i="29"/>
  <c r="AA18" i="29"/>
  <c r="W18" i="29"/>
  <c r="AA17" i="29"/>
  <c r="W17" i="29"/>
  <c r="AA16" i="29"/>
  <c r="W16" i="29"/>
  <c r="AA15" i="29"/>
  <c r="W15" i="29"/>
  <c r="AA14" i="29"/>
  <c r="W14" i="29"/>
  <c r="AA13" i="29"/>
  <c r="W13" i="29"/>
  <c r="AA12" i="29"/>
  <c r="W12" i="29"/>
  <c r="V5" i="29"/>
  <c r="U83" i="29"/>
  <c r="V3" i="29"/>
  <c r="U81" i="29" s="1"/>
  <c r="O3" i="29"/>
  <c r="E3" i="29"/>
  <c r="O2" i="29"/>
  <c r="E2" i="29"/>
  <c r="R62" i="28"/>
  <c r="R61" i="28"/>
  <c r="R57" i="28"/>
  <c r="R55" i="28"/>
  <c r="R53" i="28"/>
  <c r="R52" i="28"/>
  <c r="R50" i="28"/>
  <c r="R44" i="28"/>
  <c r="R41" i="28"/>
  <c r="R40" i="28"/>
  <c r="R38" i="28"/>
  <c r="R35" i="28"/>
  <c r="R31" i="28"/>
  <c r="R30" i="28"/>
  <c r="R25" i="28"/>
  <c r="R24" i="28"/>
  <c r="R23" i="28"/>
  <c r="R22" i="28"/>
  <c r="R20" i="28"/>
  <c r="R19" i="28"/>
  <c r="R13" i="28"/>
  <c r="O80" i="28"/>
  <c r="E80" i="28"/>
  <c r="AA78" i="28"/>
  <c r="V77" i="28"/>
  <c r="AA67" i="28"/>
  <c r="W67" i="28"/>
  <c r="AA66" i="28"/>
  <c r="W66" i="28"/>
  <c r="AA64" i="28"/>
  <c r="W64" i="28"/>
  <c r="AA63" i="28"/>
  <c r="W63" i="28"/>
  <c r="AA62" i="28"/>
  <c r="W62" i="28"/>
  <c r="AA61" i="28"/>
  <c r="W61" i="28"/>
  <c r="AA60" i="28"/>
  <c r="W60" i="28"/>
  <c r="AA59" i="28"/>
  <c r="W59" i="28"/>
  <c r="AA58" i="28"/>
  <c r="W58" i="28"/>
  <c r="AA57" i="28"/>
  <c r="W57" i="28"/>
  <c r="AA56" i="28"/>
  <c r="W56" i="28"/>
  <c r="AA55" i="28"/>
  <c r="W55" i="28"/>
  <c r="AA54" i="28"/>
  <c r="W54" i="28"/>
  <c r="AA53" i="28"/>
  <c r="W53" i="28"/>
  <c r="AA52" i="28"/>
  <c r="W52" i="28"/>
  <c r="AA51" i="28"/>
  <c r="W51" i="28"/>
  <c r="AA50" i="28"/>
  <c r="W50" i="28"/>
  <c r="AA49" i="28"/>
  <c r="AA68" i="28" s="1"/>
  <c r="W49" i="28"/>
  <c r="AA44" i="28"/>
  <c r="W44" i="28"/>
  <c r="O44" i="28"/>
  <c r="O82" i="28" s="1"/>
  <c r="E44" i="28"/>
  <c r="AA43" i="28"/>
  <c r="W43" i="28"/>
  <c r="AA42" i="28"/>
  <c r="W42" i="28"/>
  <c r="AA41" i="28"/>
  <c r="W41" i="28"/>
  <c r="AA40" i="28"/>
  <c r="W40" i="28"/>
  <c r="AA39" i="28"/>
  <c r="W39" i="28"/>
  <c r="AA38" i="28"/>
  <c r="W38" i="28"/>
  <c r="AA37" i="28"/>
  <c r="W37" i="28"/>
  <c r="AA36" i="28"/>
  <c r="W36" i="28"/>
  <c r="AA35" i="28"/>
  <c r="W35" i="28"/>
  <c r="AA34" i="28"/>
  <c r="W34" i="28"/>
  <c r="AA33" i="28"/>
  <c r="W33" i="28"/>
  <c r="AA32" i="28"/>
  <c r="W32" i="28"/>
  <c r="AA31" i="28"/>
  <c r="W31" i="28"/>
  <c r="AA30" i="28"/>
  <c r="W30" i="28"/>
  <c r="AA29" i="28"/>
  <c r="W29" i="28"/>
  <c r="AA28" i="28"/>
  <c r="W28" i="28"/>
  <c r="AA27" i="28"/>
  <c r="W27" i="28"/>
  <c r="AA26" i="28"/>
  <c r="W26" i="28"/>
  <c r="AA25" i="28"/>
  <c r="W25" i="28"/>
  <c r="AA24" i="28"/>
  <c r="W24" i="28"/>
  <c r="AA23" i="28"/>
  <c r="W23" i="28"/>
  <c r="AA22" i="28"/>
  <c r="W22" i="28"/>
  <c r="AA21" i="28"/>
  <c r="W21" i="28"/>
  <c r="AA20" i="28"/>
  <c r="W20" i="28"/>
  <c r="AA19" i="28"/>
  <c r="W19" i="28"/>
  <c r="AA18" i="28"/>
  <c r="W18" i="28"/>
  <c r="AA17" i="28"/>
  <c r="W17" i="28"/>
  <c r="AA16" i="28"/>
  <c r="W16" i="28"/>
  <c r="AA15" i="28"/>
  <c r="W15" i="28"/>
  <c r="AA14" i="28"/>
  <c r="W14" i="28"/>
  <c r="AA13" i="28"/>
  <c r="W13" i="28"/>
  <c r="AA12" i="28"/>
  <c r="W12" i="28"/>
  <c r="V5" i="28"/>
  <c r="U83" i="28"/>
  <c r="V3" i="28"/>
  <c r="U81" i="28"/>
  <c r="O3" i="28"/>
  <c r="E3" i="28"/>
  <c r="O2" i="28"/>
  <c r="E2" i="28"/>
  <c r="R62" i="27"/>
  <c r="R61" i="27"/>
  <c r="R57" i="27"/>
  <c r="R55" i="27"/>
  <c r="R53" i="27"/>
  <c r="R52" i="27"/>
  <c r="R50" i="27"/>
  <c r="R44" i="27"/>
  <c r="R41" i="27"/>
  <c r="R40" i="27"/>
  <c r="R38" i="27"/>
  <c r="R35" i="27"/>
  <c r="R31" i="27"/>
  <c r="R30" i="27"/>
  <c r="R25" i="27"/>
  <c r="R24" i="27"/>
  <c r="R23" i="27"/>
  <c r="R22" i="27"/>
  <c r="R20" i="27"/>
  <c r="R19" i="27"/>
  <c r="R13" i="27"/>
  <c r="O80" i="27"/>
  <c r="E80" i="27"/>
  <c r="AA78" i="27"/>
  <c r="V77" i="27"/>
  <c r="AA67" i="27"/>
  <c r="W67" i="27"/>
  <c r="AA66" i="27"/>
  <c r="W66" i="27"/>
  <c r="AA64" i="27"/>
  <c r="W64" i="27"/>
  <c r="AA63" i="27"/>
  <c r="W63" i="27"/>
  <c r="AA62" i="27"/>
  <c r="AB62" i="28" s="1"/>
  <c r="W62" i="27"/>
  <c r="AA61" i="27"/>
  <c r="W61" i="27"/>
  <c r="AA60" i="27"/>
  <c r="W60" i="27"/>
  <c r="AA59" i="27"/>
  <c r="W59" i="27"/>
  <c r="AA58" i="27"/>
  <c r="AB58" i="28" s="1"/>
  <c r="W58" i="27"/>
  <c r="AA57" i="27"/>
  <c r="W57" i="27"/>
  <c r="AA56" i="27"/>
  <c r="W56" i="27"/>
  <c r="AA55" i="27"/>
  <c r="W55" i="27"/>
  <c r="AA54" i="27"/>
  <c r="AB54" i="28" s="1"/>
  <c r="W54" i="27"/>
  <c r="AA53" i="27"/>
  <c r="W53" i="27"/>
  <c r="AA52" i="27"/>
  <c r="W52" i="27"/>
  <c r="AA51" i="27"/>
  <c r="W51" i="27"/>
  <c r="AA50" i="27"/>
  <c r="AB50" i="28" s="1"/>
  <c r="W50" i="27"/>
  <c r="AA49" i="27"/>
  <c r="W49" i="27"/>
  <c r="AA44" i="27"/>
  <c r="W44" i="27"/>
  <c r="O44" i="27"/>
  <c r="O82" i="27"/>
  <c r="E44" i="27"/>
  <c r="E82" i="27" s="1"/>
  <c r="AA43" i="27"/>
  <c r="W43" i="27"/>
  <c r="AA42" i="27"/>
  <c r="W42" i="27"/>
  <c r="AA41" i="27"/>
  <c r="W41" i="27"/>
  <c r="AA40" i="27"/>
  <c r="AB40" i="28" s="1"/>
  <c r="W40" i="27"/>
  <c r="AA39" i="27"/>
  <c r="W39" i="27"/>
  <c r="AA38" i="27"/>
  <c r="W38" i="27"/>
  <c r="AA37" i="27"/>
  <c r="W37" i="27"/>
  <c r="AA36" i="27"/>
  <c r="AB36" i="28" s="1"/>
  <c r="W36" i="27"/>
  <c r="AA35" i="27"/>
  <c r="W35" i="27"/>
  <c r="AA34" i="27"/>
  <c r="W34" i="27"/>
  <c r="AA33" i="27"/>
  <c r="W33" i="27"/>
  <c r="AA32" i="27"/>
  <c r="AB32" i="28" s="1"/>
  <c r="W32" i="27"/>
  <c r="AA31" i="27"/>
  <c r="W31" i="27"/>
  <c r="AA30" i="27"/>
  <c r="W30" i="27"/>
  <c r="AA29" i="27"/>
  <c r="W29" i="27"/>
  <c r="AA28" i="27"/>
  <c r="AB28" i="28" s="1"/>
  <c r="W28" i="27"/>
  <c r="AA27" i="27"/>
  <c r="W27" i="27"/>
  <c r="AA26" i="27"/>
  <c r="W26" i="27"/>
  <c r="AA25" i="27"/>
  <c r="W25" i="27"/>
  <c r="AA24" i="27"/>
  <c r="AB24" i="28" s="1"/>
  <c r="W24" i="27"/>
  <c r="AA23" i="27"/>
  <c r="W23" i="27"/>
  <c r="AA22" i="27"/>
  <c r="W22" i="27"/>
  <c r="AA21" i="27"/>
  <c r="W21" i="27"/>
  <c r="AA20" i="27"/>
  <c r="AB20" i="28" s="1"/>
  <c r="W20" i="27"/>
  <c r="AA19" i="27"/>
  <c r="W19" i="27"/>
  <c r="AA18" i="27"/>
  <c r="W18" i="27"/>
  <c r="AA17" i="27"/>
  <c r="W17" i="27"/>
  <c r="AA16" i="27"/>
  <c r="AB16" i="28" s="1"/>
  <c r="W16" i="27"/>
  <c r="AA15" i="27"/>
  <c r="W15" i="27"/>
  <c r="AA14" i="27"/>
  <c r="W14" i="27"/>
  <c r="AA13" i="27"/>
  <c r="W13" i="27"/>
  <c r="AA12" i="27"/>
  <c r="AA68" i="27" s="1"/>
  <c r="AA74" i="27" s="1"/>
  <c r="AA70" i="27" s="1"/>
  <c r="W12" i="27"/>
  <c r="W68" i="27" s="1"/>
  <c r="V5" i="27"/>
  <c r="U83" i="27"/>
  <c r="V3" i="27"/>
  <c r="U81" i="27"/>
  <c r="O3" i="27"/>
  <c r="E3" i="27"/>
  <c r="O2" i="27"/>
  <c r="E2" i="27"/>
  <c r="R62" i="26"/>
  <c r="R61" i="26"/>
  <c r="R57" i="26"/>
  <c r="R55" i="26"/>
  <c r="R53" i="26"/>
  <c r="R52" i="26"/>
  <c r="R50" i="26"/>
  <c r="R44" i="26"/>
  <c r="R41" i="26"/>
  <c r="R40" i="26"/>
  <c r="R38" i="26"/>
  <c r="R35" i="26"/>
  <c r="R31" i="26"/>
  <c r="R30" i="26"/>
  <c r="R26" i="26"/>
  <c r="R25" i="26"/>
  <c r="R24" i="26"/>
  <c r="R23" i="26"/>
  <c r="R22" i="26"/>
  <c r="R20" i="26"/>
  <c r="R19" i="26"/>
  <c r="R13" i="26"/>
  <c r="O80" i="26"/>
  <c r="E80" i="26"/>
  <c r="AA78" i="26"/>
  <c r="V77" i="26"/>
  <c r="AA67" i="26"/>
  <c r="W67" i="26"/>
  <c r="AA66" i="26"/>
  <c r="W66" i="26"/>
  <c r="AA64" i="26"/>
  <c r="W64" i="26"/>
  <c r="AA63" i="26"/>
  <c r="W63" i="26"/>
  <c r="AA62" i="26"/>
  <c r="W62" i="26"/>
  <c r="AA61" i="26"/>
  <c r="W61" i="26"/>
  <c r="AA60" i="26"/>
  <c r="W60" i="26"/>
  <c r="AA59" i="26"/>
  <c r="W59" i="26"/>
  <c r="AA58" i="26"/>
  <c r="W58" i="26"/>
  <c r="AA57" i="26"/>
  <c r="W57" i="26"/>
  <c r="AA56" i="26"/>
  <c r="W56" i="26"/>
  <c r="AA55" i="26"/>
  <c r="W55" i="26"/>
  <c r="AA54" i="26"/>
  <c r="W54" i="26"/>
  <c r="AA53" i="26"/>
  <c r="W53" i="26"/>
  <c r="AA52" i="26"/>
  <c r="W52" i="26"/>
  <c r="AA51" i="26"/>
  <c r="W51" i="26"/>
  <c r="AA50" i="26"/>
  <c r="W50" i="26"/>
  <c r="AA49" i="26"/>
  <c r="W49" i="26"/>
  <c r="AA44" i="26"/>
  <c r="W44" i="26"/>
  <c r="O44" i="26"/>
  <c r="O82" i="26" s="1"/>
  <c r="E44" i="26"/>
  <c r="E82" i="26"/>
  <c r="AA43" i="26"/>
  <c r="W43" i="26"/>
  <c r="AA42" i="26"/>
  <c r="W42" i="26"/>
  <c r="AA41" i="26"/>
  <c r="W41" i="26"/>
  <c r="AA40" i="26"/>
  <c r="W40" i="26"/>
  <c r="AA39" i="26"/>
  <c r="W39" i="26"/>
  <c r="AA38" i="26"/>
  <c r="W38" i="26"/>
  <c r="AA37" i="26"/>
  <c r="W37" i="26"/>
  <c r="AA36" i="26"/>
  <c r="W36" i="26"/>
  <c r="AA35" i="26"/>
  <c r="W35" i="26"/>
  <c r="AA34" i="26"/>
  <c r="W34" i="26"/>
  <c r="AA33" i="26"/>
  <c r="W33" i="26"/>
  <c r="AA32" i="26"/>
  <c r="W32" i="26"/>
  <c r="AA31" i="26"/>
  <c r="W31" i="26"/>
  <c r="AA30" i="26"/>
  <c r="W30" i="26"/>
  <c r="AA29" i="26"/>
  <c r="W29" i="26"/>
  <c r="AA28" i="26"/>
  <c r="W28" i="26"/>
  <c r="AA27" i="26"/>
  <c r="W27" i="26"/>
  <c r="AA26" i="26"/>
  <c r="W26" i="26"/>
  <c r="AA25" i="26"/>
  <c r="W25" i="26"/>
  <c r="AA24" i="26"/>
  <c r="W24" i="26"/>
  <c r="AA23" i="26"/>
  <c r="W23" i="26"/>
  <c r="AA22" i="26"/>
  <c r="W22" i="26"/>
  <c r="AA21" i="26"/>
  <c r="W21" i="26"/>
  <c r="AA20" i="26"/>
  <c r="W20" i="26"/>
  <c r="AA19" i="26"/>
  <c r="W19" i="26"/>
  <c r="AA18" i="26"/>
  <c r="W18" i="26"/>
  <c r="AA17" i="26"/>
  <c r="W17" i="26"/>
  <c r="AA16" i="26"/>
  <c r="W16" i="26"/>
  <c r="AA15" i="26"/>
  <c r="W15" i="26"/>
  <c r="AA14" i="26"/>
  <c r="W14" i="26"/>
  <c r="AA13" i="26"/>
  <c r="W13" i="26"/>
  <c r="AA12" i="26"/>
  <c r="W12" i="26"/>
  <c r="W68" i="26" s="1"/>
  <c r="V5" i="26"/>
  <c r="U83" i="26" s="1"/>
  <c r="V3" i="26"/>
  <c r="U81" i="26"/>
  <c r="O3" i="26"/>
  <c r="E3" i="26"/>
  <c r="O2" i="26"/>
  <c r="E2" i="26"/>
  <c r="R62" i="25"/>
  <c r="R61" i="25"/>
  <c r="R57" i="25"/>
  <c r="R55" i="25"/>
  <c r="R53" i="25"/>
  <c r="R52" i="25"/>
  <c r="R51" i="25"/>
  <c r="R50" i="25"/>
  <c r="R44" i="25"/>
  <c r="R41" i="25"/>
  <c r="R40" i="25"/>
  <c r="R38" i="25"/>
  <c r="R35" i="25"/>
  <c r="R34" i="25"/>
  <c r="R31" i="25"/>
  <c r="R30" i="25"/>
  <c r="R28" i="25"/>
  <c r="R26" i="25"/>
  <c r="R25" i="25"/>
  <c r="R24" i="25"/>
  <c r="R23" i="25"/>
  <c r="R22" i="25"/>
  <c r="R20" i="25"/>
  <c r="R19" i="25"/>
  <c r="R13" i="25"/>
  <c r="O80" i="25"/>
  <c r="E80" i="25"/>
  <c r="AA78" i="25"/>
  <c r="V77" i="25"/>
  <c r="AA67" i="25"/>
  <c r="W67" i="25"/>
  <c r="AA66" i="25"/>
  <c r="W66" i="25"/>
  <c r="AB66" i="25" s="1"/>
  <c r="AA64" i="25"/>
  <c r="W64" i="25"/>
  <c r="AA63" i="25"/>
  <c r="W63" i="25"/>
  <c r="AA62" i="25"/>
  <c r="W62" i="25"/>
  <c r="AA61" i="25"/>
  <c r="W61" i="25"/>
  <c r="AB61" i="25" s="1"/>
  <c r="AA60" i="25"/>
  <c r="W60" i="25"/>
  <c r="AA59" i="25"/>
  <c r="W59" i="25"/>
  <c r="AA58" i="25"/>
  <c r="W58" i="25"/>
  <c r="AA57" i="25"/>
  <c r="W57" i="25"/>
  <c r="AB57" i="25" s="1"/>
  <c r="AA56" i="25"/>
  <c r="W56" i="25"/>
  <c r="AA55" i="25"/>
  <c r="W55" i="25"/>
  <c r="AA54" i="25"/>
  <c r="W54" i="25"/>
  <c r="AA53" i="25"/>
  <c r="W53" i="25"/>
  <c r="AB53" i="25" s="1"/>
  <c r="AA52" i="25"/>
  <c r="W52" i="25"/>
  <c r="AA51" i="25"/>
  <c r="W51" i="25"/>
  <c r="AA50" i="25"/>
  <c r="W50" i="25"/>
  <c r="AA49" i="25"/>
  <c r="W49" i="25"/>
  <c r="AB49" i="25" s="1"/>
  <c r="AA44" i="25"/>
  <c r="W44" i="25"/>
  <c r="O44" i="25"/>
  <c r="O82" i="25" s="1"/>
  <c r="E44" i="25"/>
  <c r="E82" i="25" s="1"/>
  <c r="AA43" i="25"/>
  <c r="W43" i="25"/>
  <c r="AA42" i="25"/>
  <c r="W42" i="25"/>
  <c r="AA41" i="25"/>
  <c r="W41" i="25"/>
  <c r="AA40" i="25"/>
  <c r="W40" i="25"/>
  <c r="AA39" i="25"/>
  <c r="W39" i="25"/>
  <c r="AA38" i="25"/>
  <c r="W38" i="25"/>
  <c r="AA37" i="25"/>
  <c r="W37" i="25"/>
  <c r="AA36" i="25"/>
  <c r="W36" i="25"/>
  <c r="AA35" i="25"/>
  <c r="W35" i="25"/>
  <c r="AA34" i="25"/>
  <c r="W34" i="25"/>
  <c r="AA33" i="25"/>
  <c r="W33" i="25"/>
  <c r="AA32" i="25"/>
  <c r="W32" i="25"/>
  <c r="AA31" i="25"/>
  <c r="W31" i="25"/>
  <c r="AA30" i="25"/>
  <c r="W30" i="25"/>
  <c r="AA29" i="25"/>
  <c r="W29" i="25"/>
  <c r="AA28" i="25"/>
  <c r="W28" i="25"/>
  <c r="AA27" i="25"/>
  <c r="W27" i="25"/>
  <c r="AA26" i="25"/>
  <c r="W26" i="25"/>
  <c r="AA25" i="25"/>
  <c r="W25" i="25"/>
  <c r="AA24" i="25"/>
  <c r="W24" i="25"/>
  <c r="AA23" i="25"/>
  <c r="W23" i="25"/>
  <c r="AA22" i="25"/>
  <c r="W22" i="25"/>
  <c r="AA21" i="25"/>
  <c r="W21" i="25"/>
  <c r="AA20" i="25"/>
  <c r="W20" i="25"/>
  <c r="AA19" i="25"/>
  <c r="W19" i="25"/>
  <c r="AA18" i="25"/>
  <c r="W18" i="25"/>
  <c r="AA17" i="25"/>
  <c r="W17" i="25"/>
  <c r="AA16" i="25"/>
  <c r="W16" i="25"/>
  <c r="AA15" i="25"/>
  <c r="W15" i="25"/>
  <c r="AA14" i="25"/>
  <c r="W14" i="25"/>
  <c r="AA13" i="25"/>
  <c r="W13" i="25"/>
  <c r="AA12" i="25"/>
  <c r="W12" i="25"/>
  <c r="V5" i="25"/>
  <c r="U83" i="25" s="1"/>
  <c r="V3" i="25"/>
  <c r="U81" i="25"/>
  <c r="O3" i="25"/>
  <c r="E3" i="25"/>
  <c r="O2" i="25"/>
  <c r="E2" i="25"/>
  <c r="R62" i="24"/>
  <c r="R61" i="24"/>
  <c r="R57" i="24"/>
  <c r="R55" i="24"/>
  <c r="R53" i="24"/>
  <c r="R52" i="24"/>
  <c r="R51" i="24"/>
  <c r="R50" i="24"/>
  <c r="R44" i="24"/>
  <c r="R41" i="24"/>
  <c r="R40" i="24"/>
  <c r="R38" i="24"/>
  <c r="R35" i="24"/>
  <c r="R34" i="24"/>
  <c r="R31" i="24"/>
  <c r="R30" i="24"/>
  <c r="R28" i="24"/>
  <c r="R26" i="24"/>
  <c r="R25" i="24"/>
  <c r="R24" i="24"/>
  <c r="R23" i="24"/>
  <c r="R22" i="24"/>
  <c r="R20" i="24"/>
  <c r="R19" i="24"/>
  <c r="R13" i="24"/>
  <c r="O80" i="24"/>
  <c r="E80" i="24"/>
  <c r="AA78" i="24"/>
  <c r="V77" i="24"/>
  <c r="AA67" i="24"/>
  <c r="W67" i="24"/>
  <c r="AA66" i="24"/>
  <c r="W66" i="24"/>
  <c r="AA64" i="24"/>
  <c r="W64" i="24"/>
  <c r="AA63" i="24"/>
  <c r="W63" i="24"/>
  <c r="AA62" i="24"/>
  <c r="W62" i="24"/>
  <c r="AA61" i="24"/>
  <c r="W61" i="24"/>
  <c r="AA60" i="24"/>
  <c r="W60" i="24"/>
  <c r="AA59" i="24"/>
  <c r="W59" i="24"/>
  <c r="AA58" i="24"/>
  <c r="W58" i="24"/>
  <c r="AA57" i="24"/>
  <c r="W57" i="24"/>
  <c r="AA56" i="24"/>
  <c r="W56" i="24"/>
  <c r="AA55" i="24"/>
  <c r="W55" i="24"/>
  <c r="AA54" i="24"/>
  <c r="W54" i="24"/>
  <c r="AA53" i="24"/>
  <c r="W53" i="24"/>
  <c r="AA52" i="24"/>
  <c r="W52" i="24"/>
  <c r="AA51" i="24"/>
  <c r="W51" i="24"/>
  <c r="AA50" i="24"/>
  <c r="W50" i="24"/>
  <c r="AA49" i="24"/>
  <c r="W49" i="24"/>
  <c r="AA44" i="24"/>
  <c r="W44" i="24"/>
  <c r="O44" i="24"/>
  <c r="O82" i="24"/>
  <c r="E44" i="24"/>
  <c r="E82" i="24" s="1"/>
  <c r="AA43" i="24"/>
  <c r="W43" i="24"/>
  <c r="AA42" i="24"/>
  <c r="W42" i="24"/>
  <c r="AA41" i="24"/>
  <c r="W41" i="24"/>
  <c r="AA40" i="24"/>
  <c r="AB40" i="25" s="1"/>
  <c r="W40" i="24"/>
  <c r="AA39" i="24"/>
  <c r="W39" i="24"/>
  <c r="AA38" i="24"/>
  <c r="W38" i="24"/>
  <c r="AA37" i="24"/>
  <c r="W37" i="24"/>
  <c r="AA36" i="24"/>
  <c r="W36" i="24"/>
  <c r="AA35" i="24"/>
  <c r="W35" i="24"/>
  <c r="AA34" i="24"/>
  <c r="W34" i="24"/>
  <c r="AA33" i="24"/>
  <c r="W33" i="24"/>
  <c r="AA32" i="24"/>
  <c r="AB32" i="25" s="1"/>
  <c r="W32" i="24"/>
  <c r="AA31" i="24"/>
  <c r="W31" i="24"/>
  <c r="AA30" i="24"/>
  <c r="W30" i="24"/>
  <c r="AA29" i="24"/>
  <c r="W29" i="24"/>
  <c r="AA28" i="24"/>
  <c r="W28" i="24"/>
  <c r="AA27" i="24"/>
  <c r="W27" i="24"/>
  <c r="AA26" i="24"/>
  <c r="W26" i="24"/>
  <c r="AA25" i="24"/>
  <c r="W25" i="24"/>
  <c r="AA24" i="24"/>
  <c r="AB24" i="25" s="1"/>
  <c r="W24" i="24"/>
  <c r="AA23" i="24"/>
  <c r="W23" i="24"/>
  <c r="AA22" i="24"/>
  <c r="W22" i="24"/>
  <c r="AA21" i="24"/>
  <c r="W21" i="24"/>
  <c r="AA20" i="24"/>
  <c r="W20" i="24"/>
  <c r="AA19" i="24"/>
  <c r="W19" i="24"/>
  <c r="AA18" i="24"/>
  <c r="W18" i="24"/>
  <c r="AA17" i="24"/>
  <c r="W17" i="24"/>
  <c r="AA16" i="24"/>
  <c r="AB16" i="25" s="1"/>
  <c r="W16" i="24"/>
  <c r="AA15" i="24"/>
  <c r="W15" i="24"/>
  <c r="AA14" i="24"/>
  <c r="W14" i="24"/>
  <c r="AA13" i="24"/>
  <c r="W13" i="24"/>
  <c r="AA12" i="24"/>
  <c r="AA68" i="24" s="1"/>
  <c r="AA74" i="24" s="1"/>
  <c r="W12" i="24"/>
  <c r="V5" i="24"/>
  <c r="U83" i="24"/>
  <c r="V3" i="24"/>
  <c r="U81" i="24"/>
  <c r="O3" i="24"/>
  <c r="E3" i="24"/>
  <c r="O2" i="24"/>
  <c r="E2" i="24"/>
  <c r="R62" i="23"/>
  <c r="R61" i="23"/>
  <c r="R57" i="23"/>
  <c r="R55" i="23"/>
  <c r="R53" i="23"/>
  <c r="R52" i="23"/>
  <c r="R51" i="23"/>
  <c r="R50" i="23"/>
  <c r="R44" i="23"/>
  <c r="R41" i="23"/>
  <c r="R40" i="23"/>
  <c r="R38" i="23"/>
  <c r="R35" i="23"/>
  <c r="R34" i="23"/>
  <c r="R31" i="23"/>
  <c r="R30" i="23"/>
  <c r="R28" i="23"/>
  <c r="R26" i="23"/>
  <c r="R25" i="23"/>
  <c r="R24" i="23"/>
  <c r="R23" i="23"/>
  <c r="R22" i="23"/>
  <c r="R20" i="23"/>
  <c r="R19" i="23"/>
  <c r="R17" i="23"/>
  <c r="R15" i="23"/>
  <c r="R13" i="23"/>
  <c r="O80" i="23"/>
  <c r="E80" i="23"/>
  <c r="AA78" i="23"/>
  <c r="V77" i="23"/>
  <c r="AA67" i="23"/>
  <c r="W67" i="23"/>
  <c r="AA66" i="23"/>
  <c r="W66" i="23"/>
  <c r="AA64" i="23"/>
  <c r="W64" i="23"/>
  <c r="AA63" i="23"/>
  <c r="W63" i="23"/>
  <c r="AA62" i="23"/>
  <c r="W62" i="23"/>
  <c r="AA61" i="23"/>
  <c r="W61" i="23"/>
  <c r="AA60" i="23"/>
  <c r="W60" i="23"/>
  <c r="AA59" i="23"/>
  <c r="W59" i="23"/>
  <c r="AA58" i="23"/>
  <c r="W58" i="23"/>
  <c r="AA57" i="23"/>
  <c r="W57" i="23"/>
  <c r="AA56" i="23"/>
  <c r="W56" i="23"/>
  <c r="AA55" i="23"/>
  <c r="W55" i="23"/>
  <c r="AA54" i="23"/>
  <c r="W54" i="23"/>
  <c r="AA53" i="23"/>
  <c r="W53" i="23"/>
  <c r="AA52" i="23"/>
  <c r="W52" i="23"/>
  <c r="AA51" i="23"/>
  <c r="W51" i="23"/>
  <c r="AA50" i="23"/>
  <c r="W50" i="23"/>
  <c r="AA49" i="23"/>
  <c r="W49" i="23"/>
  <c r="AA44" i="23"/>
  <c r="W44" i="23"/>
  <c r="O44" i="23"/>
  <c r="O82" i="23"/>
  <c r="E44" i="23"/>
  <c r="E82" i="23"/>
  <c r="AA43" i="23"/>
  <c r="W43" i="23"/>
  <c r="AA42" i="23"/>
  <c r="W42" i="23"/>
  <c r="AA41" i="23"/>
  <c r="W41" i="23"/>
  <c r="AA40" i="23"/>
  <c r="W40" i="23"/>
  <c r="AA39" i="23"/>
  <c r="W39" i="23"/>
  <c r="AA38" i="23"/>
  <c r="W38" i="23"/>
  <c r="AA37" i="23"/>
  <c r="W37" i="23"/>
  <c r="AA36" i="23"/>
  <c r="W36" i="23"/>
  <c r="AA35" i="23"/>
  <c r="W35" i="23"/>
  <c r="AA34" i="23"/>
  <c r="W34" i="23"/>
  <c r="AA33" i="23"/>
  <c r="W33" i="23"/>
  <c r="AA32" i="23"/>
  <c r="W32" i="23"/>
  <c r="AA31" i="23"/>
  <c r="W31" i="23"/>
  <c r="AA30" i="23"/>
  <c r="W30" i="23"/>
  <c r="AA29" i="23"/>
  <c r="W29" i="23"/>
  <c r="AA28" i="23"/>
  <c r="W28" i="23"/>
  <c r="AA27" i="23"/>
  <c r="W27" i="23"/>
  <c r="AA26" i="23"/>
  <c r="W26" i="23"/>
  <c r="AA25" i="23"/>
  <c r="W25" i="23"/>
  <c r="AA24" i="23"/>
  <c r="W24" i="23"/>
  <c r="AA23" i="23"/>
  <c r="W23" i="23"/>
  <c r="AA22" i="23"/>
  <c r="W22" i="23"/>
  <c r="AA21" i="23"/>
  <c r="W21" i="23"/>
  <c r="AA20" i="23"/>
  <c r="W20" i="23"/>
  <c r="AA19" i="23"/>
  <c r="W19" i="23"/>
  <c r="AA18" i="23"/>
  <c r="W18" i="23"/>
  <c r="AA17" i="23"/>
  <c r="W17" i="23"/>
  <c r="AA16" i="23"/>
  <c r="W16" i="23"/>
  <c r="AA15" i="23"/>
  <c r="W15" i="23"/>
  <c r="AA14" i="23"/>
  <c r="W14" i="23"/>
  <c r="AA13" i="23"/>
  <c r="W13" i="23"/>
  <c r="AA12" i="23"/>
  <c r="W12" i="23"/>
  <c r="V5" i="23"/>
  <c r="U83" i="23" s="1"/>
  <c r="V3" i="23"/>
  <c r="U81" i="23"/>
  <c r="O3" i="23"/>
  <c r="E3" i="23"/>
  <c r="O2" i="23"/>
  <c r="E2" i="23"/>
  <c r="R62" i="22"/>
  <c r="R61" i="22"/>
  <c r="R57" i="22"/>
  <c r="R55" i="22"/>
  <c r="R53" i="22"/>
  <c r="R52" i="22"/>
  <c r="R51" i="22"/>
  <c r="R50" i="22"/>
  <c r="R44" i="22"/>
  <c r="R41" i="22"/>
  <c r="R40" i="22"/>
  <c r="R38" i="22"/>
  <c r="R35" i="22"/>
  <c r="R34" i="22"/>
  <c r="R31" i="22"/>
  <c r="R30" i="22"/>
  <c r="R28" i="22"/>
  <c r="R27" i="22"/>
  <c r="R26" i="22"/>
  <c r="R25" i="22"/>
  <c r="R24" i="22"/>
  <c r="R23" i="22"/>
  <c r="R22" i="22"/>
  <c r="R20" i="22"/>
  <c r="R19" i="22"/>
  <c r="R18" i="22"/>
  <c r="R17" i="22"/>
  <c r="R15" i="22"/>
  <c r="R13" i="22"/>
  <c r="O80" i="22"/>
  <c r="E80" i="22"/>
  <c r="AA78" i="22"/>
  <c r="V77" i="22"/>
  <c r="AA67" i="22"/>
  <c r="W67" i="22"/>
  <c r="AA66" i="22"/>
  <c r="W66" i="22"/>
  <c r="AA64" i="22"/>
  <c r="W64" i="22"/>
  <c r="AA63" i="22"/>
  <c r="W63" i="22"/>
  <c r="AA62" i="22"/>
  <c r="W62" i="22"/>
  <c r="AA61" i="22"/>
  <c r="W61" i="22"/>
  <c r="AA60" i="22"/>
  <c r="W60" i="22"/>
  <c r="AA59" i="22"/>
  <c r="W59" i="22"/>
  <c r="AA58" i="22"/>
  <c r="W58" i="22"/>
  <c r="AA57" i="22"/>
  <c r="W57" i="22"/>
  <c r="AA56" i="22"/>
  <c r="W56" i="22"/>
  <c r="AA55" i="22"/>
  <c r="W55" i="22"/>
  <c r="AA54" i="22"/>
  <c r="W54" i="22"/>
  <c r="AA53" i="22"/>
  <c r="W53" i="22"/>
  <c r="AA52" i="22"/>
  <c r="W52" i="22"/>
  <c r="AA51" i="22"/>
  <c r="W51" i="22"/>
  <c r="AA50" i="22"/>
  <c r="W50" i="22"/>
  <c r="AA49" i="22"/>
  <c r="W49" i="22"/>
  <c r="AA44" i="22"/>
  <c r="W44" i="22"/>
  <c r="O44" i="22"/>
  <c r="E44" i="22"/>
  <c r="AA43" i="22"/>
  <c r="W43" i="22"/>
  <c r="AA42" i="22"/>
  <c r="W42" i="22"/>
  <c r="AA41" i="22"/>
  <c r="W41" i="22"/>
  <c r="AA40" i="22"/>
  <c r="W40" i="22"/>
  <c r="AA39" i="22"/>
  <c r="W39" i="22"/>
  <c r="AA38" i="22"/>
  <c r="W38" i="22"/>
  <c r="AA37" i="22"/>
  <c r="W37" i="22"/>
  <c r="AA36" i="22"/>
  <c r="W36" i="22"/>
  <c r="AA35" i="22"/>
  <c r="W35" i="22"/>
  <c r="AA34" i="22"/>
  <c r="W34" i="22"/>
  <c r="AA33" i="22"/>
  <c r="W33" i="22"/>
  <c r="AA32" i="22"/>
  <c r="W32" i="22"/>
  <c r="AA31" i="22"/>
  <c r="W31" i="22"/>
  <c r="AA30" i="22"/>
  <c r="W30" i="22"/>
  <c r="AA29" i="22"/>
  <c r="W29" i="22"/>
  <c r="AA28" i="22"/>
  <c r="W28" i="22"/>
  <c r="AA27" i="22"/>
  <c r="W27" i="22"/>
  <c r="AA26" i="22"/>
  <c r="W26" i="22"/>
  <c r="AA25" i="22"/>
  <c r="W25" i="22"/>
  <c r="AA24" i="22"/>
  <c r="W24" i="22"/>
  <c r="AA23" i="22"/>
  <c r="W23" i="22"/>
  <c r="AA22" i="22"/>
  <c r="W22" i="22"/>
  <c r="AA21" i="22"/>
  <c r="W21" i="22"/>
  <c r="AA20" i="22"/>
  <c r="W20" i="22"/>
  <c r="AA19" i="22"/>
  <c r="W19" i="22"/>
  <c r="AA18" i="22"/>
  <c r="W18" i="22"/>
  <c r="AA17" i="22"/>
  <c r="W17" i="22"/>
  <c r="AA16" i="22"/>
  <c r="W16" i="22"/>
  <c r="AA15" i="22"/>
  <c r="W15" i="22"/>
  <c r="AA14" i="22"/>
  <c r="W14" i="22"/>
  <c r="AA13" i="22"/>
  <c r="W13" i="22"/>
  <c r="AA12" i="22"/>
  <c r="W12" i="22"/>
  <c r="V5" i="22"/>
  <c r="U83" i="22"/>
  <c r="V3" i="22"/>
  <c r="U81" i="22" s="1"/>
  <c r="O3" i="22"/>
  <c r="E3" i="22"/>
  <c r="O2" i="22"/>
  <c r="E2" i="22"/>
  <c r="R62" i="21"/>
  <c r="R61" i="21"/>
  <c r="R57" i="21"/>
  <c r="R55" i="21"/>
  <c r="R53" i="21"/>
  <c r="R52" i="21"/>
  <c r="R51" i="21"/>
  <c r="R50" i="21"/>
  <c r="R44" i="21"/>
  <c r="R41" i="21"/>
  <c r="R40" i="21"/>
  <c r="R39" i="21"/>
  <c r="R38" i="21"/>
  <c r="R35" i="21"/>
  <c r="R34" i="21"/>
  <c r="R31" i="21"/>
  <c r="R30" i="21"/>
  <c r="R28" i="21"/>
  <c r="R27" i="21"/>
  <c r="R26" i="21"/>
  <c r="R25" i="21"/>
  <c r="R24" i="21"/>
  <c r="R23" i="21"/>
  <c r="R22" i="21"/>
  <c r="R20" i="21"/>
  <c r="R19" i="21"/>
  <c r="R18" i="21"/>
  <c r="R17" i="21"/>
  <c r="R15" i="21"/>
  <c r="R13" i="21"/>
  <c r="O80" i="21"/>
  <c r="E80" i="21"/>
  <c r="E82" i="21" s="1"/>
  <c r="AA78" i="21"/>
  <c r="V77" i="21"/>
  <c r="AA67" i="21"/>
  <c r="W67" i="21"/>
  <c r="AA66" i="21"/>
  <c r="W66" i="21"/>
  <c r="AA64" i="21"/>
  <c r="W64" i="21"/>
  <c r="AB64" i="21" s="1"/>
  <c r="AA63" i="21"/>
  <c r="W63" i="21"/>
  <c r="AA62" i="21"/>
  <c r="W62" i="21"/>
  <c r="AA61" i="21"/>
  <c r="W61" i="21"/>
  <c r="AA60" i="21"/>
  <c r="W60" i="21"/>
  <c r="AB60" i="21" s="1"/>
  <c r="AA59" i="21"/>
  <c r="W59" i="21"/>
  <c r="AA58" i="21"/>
  <c r="W58" i="21"/>
  <c r="AA57" i="21"/>
  <c r="W57" i="21"/>
  <c r="AA56" i="21"/>
  <c r="W56" i="21"/>
  <c r="AB56" i="21" s="1"/>
  <c r="AA55" i="21"/>
  <c r="W55" i="21"/>
  <c r="AA54" i="21"/>
  <c r="W54" i="21"/>
  <c r="AA53" i="21"/>
  <c r="W53" i="21"/>
  <c r="AA52" i="21"/>
  <c r="AB52" i="22" s="1"/>
  <c r="W52" i="21"/>
  <c r="AB52" i="21" s="1"/>
  <c r="AA51" i="21"/>
  <c r="W51" i="21"/>
  <c r="AA50" i="21"/>
  <c r="W50" i="21"/>
  <c r="AA49" i="21"/>
  <c r="W49" i="21"/>
  <c r="AA44" i="21"/>
  <c r="W44" i="21"/>
  <c r="AB44" i="21" s="1"/>
  <c r="O44" i="21"/>
  <c r="E44" i="21"/>
  <c r="AA43" i="21"/>
  <c r="W43" i="21"/>
  <c r="AA42" i="21"/>
  <c r="W42" i="21"/>
  <c r="AB42" i="21" s="1"/>
  <c r="AA41" i="21"/>
  <c r="W41" i="21"/>
  <c r="AA40" i="21"/>
  <c r="W40" i="21"/>
  <c r="AA39" i="21"/>
  <c r="W39" i="21"/>
  <c r="AA38" i="21"/>
  <c r="W38" i="21"/>
  <c r="AB38" i="21" s="1"/>
  <c r="AA37" i="21"/>
  <c r="W37" i="21"/>
  <c r="AA36" i="21"/>
  <c r="W36" i="21"/>
  <c r="AA35" i="21"/>
  <c r="W35" i="21"/>
  <c r="AA34" i="21"/>
  <c r="W34" i="21"/>
  <c r="AA33" i="21"/>
  <c r="W33" i="21"/>
  <c r="AA32" i="21"/>
  <c r="W32" i="21"/>
  <c r="AA31" i="21"/>
  <c r="W31" i="21"/>
  <c r="AA30" i="21"/>
  <c r="W30" i="21"/>
  <c r="AB30" i="21" s="1"/>
  <c r="AA29" i="21"/>
  <c r="AB29" i="22" s="1"/>
  <c r="W29" i="21"/>
  <c r="AA28" i="21"/>
  <c r="W28" i="21"/>
  <c r="AA27" i="21"/>
  <c r="W27" i="21"/>
  <c r="AA26" i="21"/>
  <c r="W26" i="21"/>
  <c r="AA25" i="21"/>
  <c r="W25" i="21"/>
  <c r="AA24" i="21"/>
  <c r="W24" i="21"/>
  <c r="AA23" i="21"/>
  <c r="W23" i="21"/>
  <c r="AA22" i="21"/>
  <c r="W22" i="21"/>
  <c r="AB22" i="21" s="1"/>
  <c r="AA21" i="21"/>
  <c r="W21" i="21"/>
  <c r="AA20" i="21"/>
  <c r="W20" i="21"/>
  <c r="AA19" i="21"/>
  <c r="W19" i="21"/>
  <c r="AA18" i="21"/>
  <c r="W18" i="21"/>
  <c r="AA17" i="21"/>
  <c r="W17" i="21"/>
  <c r="AA16" i="21"/>
  <c r="W16" i="21"/>
  <c r="AA15" i="21"/>
  <c r="W15" i="21"/>
  <c r="AA14" i="21"/>
  <c r="W14" i="21"/>
  <c r="AB14" i="21" s="1"/>
  <c r="AA13" i="21"/>
  <c r="AA68" i="21" s="1"/>
  <c r="AA74" i="21" s="1"/>
  <c r="AA85" i="21" s="1"/>
  <c r="W13" i="21"/>
  <c r="AA12" i="21"/>
  <c r="W12" i="21"/>
  <c r="V5" i="21"/>
  <c r="U83" i="21"/>
  <c r="V3" i="21"/>
  <c r="U81" i="21"/>
  <c r="O3" i="21"/>
  <c r="E3" i="21"/>
  <c r="O2" i="21"/>
  <c r="E2" i="21"/>
  <c r="R64" i="20"/>
  <c r="R62" i="20"/>
  <c r="R61" i="20"/>
  <c r="R57" i="20"/>
  <c r="R55" i="20"/>
  <c r="R54" i="20"/>
  <c r="R53" i="20"/>
  <c r="R52" i="20"/>
  <c r="R51" i="20"/>
  <c r="R50" i="20"/>
  <c r="R44" i="20"/>
  <c r="R43" i="20"/>
  <c r="R41" i="20"/>
  <c r="R40" i="20"/>
  <c r="R39" i="20"/>
  <c r="R38" i="20"/>
  <c r="R37" i="20"/>
  <c r="R35" i="20"/>
  <c r="R34" i="20"/>
  <c r="R32" i="20"/>
  <c r="R31" i="20"/>
  <c r="R30" i="20"/>
  <c r="R28" i="20"/>
  <c r="R27" i="20"/>
  <c r="R26" i="20"/>
  <c r="R25" i="20"/>
  <c r="R24" i="20"/>
  <c r="R23" i="20"/>
  <c r="R22" i="20"/>
  <c r="R21" i="20"/>
  <c r="R20" i="20"/>
  <c r="R19" i="20"/>
  <c r="R18" i="20"/>
  <c r="R17" i="20"/>
  <c r="R16" i="20"/>
  <c r="R15" i="20"/>
  <c r="R14" i="20"/>
  <c r="R13" i="20"/>
  <c r="R12" i="20"/>
  <c r="O80" i="20"/>
  <c r="E80" i="20"/>
  <c r="AA78" i="20"/>
  <c r="V77" i="20"/>
  <c r="AA67" i="20"/>
  <c r="W67" i="20"/>
  <c r="AA66" i="20"/>
  <c r="W66" i="20"/>
  <c r="AA64" i="20"/>
  <c r="W64" i="20"/>
  <c r="AA63" i="20"/>
  <c r="W63" i="20"/>
  <c r="AA62" i="20"/>
  <c r="W62" i="20"/>
  <c r="AA61" i="20"/>
  <c r="W61" i="20"/>
  <c r="AA60" i="20"/>
  <c r="W60" i="20"/>
  <c r="AA59" i="20"/>
  <c r="AB59" i="21" s="1"/>
  <c r="W59" i="20"/>
  <c r="AA58" i="20"/>
  <c r="W58" i="20"/>
  <c r="AA57" i="20"/>
  <c r="W57" i="20"/>
  <c r="AA56" i="20"/>
  <c r="W56" i="20"/>
  <c r="AA55" i="20"/>
  <c r="W55" i="20"/>
  <c r="AA54" i="20"/>
  <c r="W54" i="20"/>
  <c r="AA53" i="20"/>
  <c r="W53" i="20"/>
  <c r="AA52" i="20"/>
  <c r="W52" i="20"/>
  <c r="AA51" i="20"/>
  <c r="AB51" i="21" s="1"/>
  <c r="W51" i="20"/>
  <c r="AA50" i="20"/>
  <c r="W50" i="20"/>
  <c r="AA49" i="20"/>
  <c r="W49" i="20"/>
  <c r="AA44" i="20"/>
  <c r="W44" i="20"/>
  <c r="O44" i="20"/>
  <c r="O82" i="20" s="1"/>
  <c r="E44" i="20"/>
  <c r="E82" i="20"/>
  <c r="AA43" i="20"/>
  <c r="W43" i="20"/>
  <c r="AA42" i="20"/>
  <c r="W42" i="20"/>
  <c r="AA41" i="20"/>
  <c r="W41" i="20"/>
  <c r="AA40" i="20"/>
  <c r="W40" i="20"/>
  <c r="AA39" i="20"/>
  <c r="W39" i="20"/>
  <c r="AA38" i="20"/>
  <c r="W38" i="20"/>
  <c r="AA37" i="20"/>
  <c r="W37" i="20"/>
  <c r="AA36" i="20"/>
  <c r="W36" i="20"/>
  <c r="AA35" i="20"/>
  <c r="W35" i="20"/>
  <c r="AA34" i="20"/>
  <c r="W34" i="20"/>
  <c r="AA33" i="20"/>
  <c r="W33" i="20"/>
  <c r="AA32" i="20"/>
  <c r="W32" i="20"/>
  <c r="AA31" i="20"/>
  <c r="W31" i="20"/>
  <c r="AA30" i="20"/>
  <c r="W30" i="20"/>
  <c r="AA29" i="20"/>
  <c r="W29" i="20"/>
  <c r="AA28" i="20"/>
  <c r="W28" i="20"/>
  <c r="AA27" i="20"/>
  <c r="W27" i="20"/>
  <c r="AA26" i="20"/>
  <c r="W26" i="20"/>
  <c r="AA25" i="20"/>
  <c r="W25" i="20"/>
  <c r="AA24" i="20"/>
  <c r="W24" i="20"/>
  <c r="AA23" i="20"/>
  <c r="W23" i="20"/>
  <c r="AA22" i="20"/>
  <c r="W22" i="20"/>
  <c r="AA21" i="20"/>
  <c r="W21" i="20"/>
  <c r="AA20" i="20"/>
  <c r="W20" i="20"/>
  <c r="AA19" i="20"/>
  <c r="W19" i="20"/>
  <c r="AA18" i="20"/>
  <c r="W18" i="20"/>
  <c r="AA17" i="20"/>
  <c r="W17" i="20"/>
  <c r="AA16" i="20"/>
  <c r="W16" i="20"/>
  <c r="AA15" i="20"/>
  <c r="W15" i="20"/>
  <c r="AA14" i="20"/>
  <c r="W14" i="20"/>
  <c r="AA13" i="20"/>
  <c r="W13" i="20"/>
  <c r="W68" i="20" s="1"/>
  <c r="AA12" i="20"/>
  <c r="W12" i="20"/>
  <c r="V5" i="20"/>
  <c r="U83" i="20"/>
  <c r="V3" i="20"/>
  <c r="U81" i="20"/>
  <c r="O3" i="20"/>
  <c r="E3" i="20"/>
  <c r="O2" i="20"/>
  <c r="E2" i="20"/>
  <c r="R64" i="19"/>
  <c r="R62" i="19"/>
  <c r="R61" i="19"/>
  <c r="R57" i="19"/>
  <c r="R55" i="19"/>
  <c r="R54" i="19"/>
  <c r="R53" i="19"/>
  <c r="R52" i="19"/>
  <c r="R51" i="19"/>
  <c r="R50" i="19"/>
  <c r="R44" i="19"/>
  <c r="R43" i="19"/>
  <c r="R41" i="19"/>
  <c r="R40" i="19"/>
  <c r="R39" i="19"/>
  <c r="R38" i="19"/>
  <c r="R37" i="19"/>
  <c r="R35" i="19"/>
  <c r="R34" i="19"/>
  <c r="R32" i="19"/>
  <c r="R31" i="19"/>
  <c r="R30" i="19"/>
  <c r="R28" i="19"/>
  <c r="R27" i="19"/>
  <c r="R26" i="19"/>
  <c r="R25" i="19"/>
  <c r="R24" i="19"/>
  <c r="R23" i="19"/>
  <c r="R22" i="19"/>
  <c r="R21" i="19"/>
  <c r="R20" i="19"/>
  <c r="R19" i="19"/>
  <c r="R18" i="19"/>
  <c r="R17" i="19"/>
  <c r="R16" i="19"/>
  <c r="R15" i="19"/>
  <c r="R13" i="19"/>
  <c r="R12" i="19"/>
  <c r="O80" i="19"/>
  <c r="O82" i="19" s="1"/>
  <c r="E80" i="19"/>
  <c r="E82" i="19" s="1"/>
  <c r="AA78" i="19"/>
  <c r="V77" i="19"/>
  <c r="AA67" i="19"/>
  <c r="W67" i="19"/>
  <c r="AA66" i="19"/>
  <c r="W66" i="19"/>
  <c r="AA64" i="19"/>
  <c r="W64" i="19"/>
  <c r="AA63" i="19"/>
  <c r="W63" i="19"/>
  <c r="AA62" i="19"/>
  <c r="W62" i="19"/>
  <c r="AA61" i="19"/>
  <c r="W61" i="19"/>
  <c r="AA60" i="19"/>
  <c r="W60" i="19"/>
  <c r="AA59" i="19"/>
  <c r="W59" i="19"/>
  <c r="AA58" i="19"/>
  <c r="W58" i="19"/>
  <c r="AA57" i="19"/>
  <c r="W57" i="19"/>
  <c r="AA56" i="19"/>
  <c r="W56" i="19"/>
  <c r="AA55" i="19"/>
  <c r="W55" i="19"/>
  <c r="AA54" i="19"/>
  <c r="W54" i="19"/>
  <c r="AA53" i="19"/>
  <c r="W53" i="19"/>
  <c r="AA52" i="19"/>
  <c r="W52" i="19"/>
  <c r="AA51" i="19"/>
  <c r="W51" i="19"/>
  <c r="AA50" i="19"/>
  <c r="W50" i="19"/>
  <c r="AA49" i="19"/>
  <c r="W49" i="19"/>
  <c r="AA44" i="19"/>
  <c r="W44" i="19"/>
  <c r="O44" i="19"/>
  <c r="E44" i="19"/>
  <c r="AA43" i="19"/>
  <c r="W43" i="19"/>
  <c r="AA42" i="19"/>
  <c r="W42" i="19"/>
  <c r="AA41" i="19"/>
  <c r="W41" i="19"/>
  <c r="AA40" i="19"/>
  <c r="W40" i="19"/>
  <c r="AA39" i="19"/>
  <c r="W39" i="19"/>
  <c r="AA38" i="19"/>
  <c r="W38" i="19"/>
  <c r="AA37" i="19"/>
  <c r="W37" i="19"/>
  <c r="AA36" i="19"/>
  <c r="W36" i="19"/>
  <c r="AA35" i="19"/>
  <c r="W35" i="19"/>
  <c r="AA34" i="19"/>
  <c r="W34" i="19"/>
  <c r="AA33" i="19"/>
  <c r="W33" i="19"/>
  <c r="AA32" i="19"/>
  <c r="W32" i="19"/>
  <c r="AA31" i="19"/>
  <c r="W31" i="19"/>
  <c r="AA30" i="19"/>
  <c r="W30" i="19"/>
  <c r="AA29" i="19"/>
  <c r="W29" i="19"/>
  <c r="AA28" i="19"/>
  <c r="W28" i="19"/>
  <c r="AA27" i="19"/>
  <c r="W27" i="19"/>
  <c r="AA26" i="19"/>
  <c r="W26" i="19"/>
  <c r="AA25" i="19"/>
  <c r="W25" i="19"/>
  <c r="AA24" i="19"/>
  <c r="W24" i="19"/>
  <c r="AA23" i="19"/>
  <c r="W23" i="19"/>
  <c r="AA22" i="19"/>
  <c r="W22" i="19"/>
  <c r="AA21" i="19"/>
  <c r="W21" i="19"/>
  <c r="AA20" i="19"/>
  <c r="W20" i="19"/>
  <c r="AA19" i="19"/>
  <c r="W19" i="19"/>
  <c r="AA18" i="19"/>
  <c r="W18" i="19"/>
  <c r="AA17" i="19"/>
  <c r="W17" i="19"/>
  <c r="AA16" i="19"/>
  <c r="W16" i="19"/>
  <c r="AA15" i="19"/>
  <c r="W15" i="19"/>
  <c r="AA14" i="19"/>
  <c r="W14" i="19"/>
  <c r="AA13" i="19"/>
  <c r="W13" i="19"/>
  <c r="AA12" i="19"/>
  <c r="W12" i="19"/>
  <c r="W68" i="19" s="1"/>
  <c r="AB68" i="19" s="1"/>
  <c r="V5" i="19"/>
  <c r="U83" i="19"/>
  <c r="V3" i="19"/>
  <c r="U81" i="19" s="1"/>
  <c r="O3" i="19"/>
  <c r="E3" i="19"/>
  <c r="O2" i="19"/>
  <c r="E2" i="19"/>
  <c r="R64" i="18"/>
  <c r="R62" i="18"/>
  <c r="R61" i="18"/>
  <c r="R57" i="18"/>
  <c r="R55" i="18"/>
  <c r="R54" i="18"/>
  <c r="R53" i="18"/>
  <c r="R52" i="18"/>
  <c r="R51" i="18"/>
  <c r="R50" i="18"/>
  <c r="R44" i="18"/>
  <c r="R43" i="18"/>
  <c r="R41" i="18"/>
  <c r="R40" i="18"/>
  <c r="R39" i="18"/>
  <c r="R38" i="18"/>
  <c r="R37" i="18"/>
  <c r="R35" i="18"/>
  <c r="R34" i="18"/>
  <c r="R33" i="18"/>
  <c r="R32" i="18"/>
  <c r="R31" i="18"/>
  <c r="R30" i="18"/>
  <c r="R28" i="18"/>
  <c r="R27" i="18"/>
  <c r="R26" i="18"/>
  <c r="R25" i="18"/>
  <c r="R24" i="18"/>
  <c r="R23" i="18"/>
  <c r="R22" i="18"/>
  <c r="R21" i="18"/>
  <c r="R20" i="18"/>
  <c r="R19" i="18"/>
  <c r="R18" i="18"/>
  <c r="R17" i="18"/>
  <c r="R16" i="18"/>
  <c r="R15" i="18"/>
  <c r="R13" i="18"/>
  <c r="R12" i="18"/>
  <c r="O80" i="18"/>
  <c r="E80" i="18"/>
  <c r="AA78" i="18"/>
  <c r="V77" i="18"/>
  <c r="AA67" i="18"/>
  <c r="W67" i="18"/>
  <c r="AA66" i="18"/>
  <c r="W66" i="18"/>
  <c r="AA64" i="18"/>
  <c r="W64" i="18"/>
  <c r="AA63" i="18"/>
  <c r="W63" i="18"/>
  <c r="AA62" i="18"/>
  <c r="W62" i="18"/>
  <c r="AA61" i="18"/>
  <c r="W61" i="18"/>
  <c r="AA60" i="18"/>
  <c r="W60" i="18"/>
  <c r="AA59" i="18"/>
  <c r="W59" i="18"/>
  <c r="AA58" i="18"/>
  <c r="W58" i="18"/>
  <c r="AA57" i="18"/>
  <c r="W57" i="18"/>
  <c r="AA56" i="18"/>
  <c r="W56" i="18"/>
  <c r="AA55" i="18"/>
  <c r="W55" i="18"/>
  <c r="AA54" i="18"/>
  <c r="W54" i="18"/>
  <c r="AA53" i="18"/>
  <c r="W53" i="18"/>
  <c r="AA52" i="18"/>
  <c r="W52" i="18"/>
  <c r="AA51" i="18"/>
  <c r="W51" i="18"/>
  <c r="AA50" i="18"/>
  <c r="W50" i="18"/>
  <c r="AA49" i="18"/>
  <c r="W49" i="18"/>
  <c r="AA44" i="18"/>
  <c r="W44" i="18"/>
  <c r="O44" i="18"/>
  <c r="O82" i="18" s="1"/>
  <c r="E44" i="18"/>
  <c r="E82" i="18"/>
  <c r="AA43" i="18"/>
  <c r="W43" i="18"/>
  <c r="AA42" i="18"/>
  <c r="W42" i="18"/>
  <c r="AA41" i="18"/>
  <c r="W41" i="18"/>
  <c r="AA40" i="18"/>
  <c r="W40" i="18"/>
  <c r="AA39" i="18"/>
  <c r="W39" i="18"/>
  <c r="AA38" i="18"/>
  <c r="W38" i="18"/>
  <c r="AA37" i="18"/>
  <c r="W37" i="18"/>
  <c r="AA36" i="18"/>
  <c r="W36" i="18"/>
  <c r="AA35" i="18"/>
  <c r="W35" i="18"/>
  <c r="AA34" i="18"/>
  <c r="W34" i="18"/>
  <c r="AA33" i="18"/>
  <c r="W33" i="18"/>
  <c r="AA32" i="18"/>
  <c r="W32" i="18"/>
  <c r="AA31" i="18"/>
  <c r="W31" i="18"/>
  <c r="AA30" i="18"/>
  <c r="W30" i="18"/>
  <c r="AA29" i="18"/>
  <c r="W29" i="18"/>
  <c r="AA28" i="18"/>
  <c r="W28" i="18"/>
  <c r="AA27" i="18"/>
  <c r="W27" i="18"/>
  <c r="AA26" i="18"/>
  <c r="W26" i="18"/>
  <c r="AA25" i="18"/>
  <c r="W25" i="18"/>
  <c r="AA24" i="18"/>
  <c r="W24" i="18"/>
  <c r="AA23" i="18"/>
  <c r="W23" i="18"/>
  <c r="AA22" i="18"/>
  <c r="W22" i="18"/>
  <c r="AA21" i="18"/>
  <c r="W21" i="18"/>
  <c r="AA20" i="18"/>
  <c r="W20" i="18"/>
  <c r="AA19" i="18"/>
  <c r="W19" i="18"/>
  <c r="AA18" i="18"/>
  <c r="W18" i="18"/>
  <c r="AA17" i="18"/>
  <c r="W17" i="18"/>
  <c r="AA16" i="18"/>
  <c r="W16" i="18"/>
  <c r="AA15" i="18"/>
  <c r="W15" i="18"/>
  <c r="AA14" i="18"/>
  <c r="W14" i="18"/>
  <c r="AA13" i="18"/>
  <c r="W13" i="18"/>
  <c r="AA12" i="18"/>
  <c r="W12" i="18"/>
  <c r="V5" i="18"/>
  <c r="U83" i="18" s="1"/>
  <c r="V3" i="18"/>
  <c r="U81" i="18" s="1"/>
  <c r="O3" i="18"/>
  <c r="E3" i="18"/>
  <c r="O2" i="18"/>
  <c r="E2" i="18"/>
  <c r="R64" i="17"/>
  <c r="R62" i="17"/>
  <c r="R61" i="17"/>
  <c r="R57" i="17"/>
  <c r="R55" i="17"/>
  <c r="R54" i="17"/>
  <c r="R53" i="17"/>
  <c r="R52" i="17"/>
  <c r="R51" i="17"/>
  <c r="R50" i="17"/>
  <c r="R44" i="17"/>
  <c r="R43" i="17"/>
  <c r="R42" i="17"/>
  <c r="R41" i="17"/>
  <c r="R40" i="17"/>
  <c r="R39" i="17"/>
  <c r="R38" i="17"/>
  <c r="R37" i="17"/>
  <c r="R35" i="17"/>
  <c r="R34" i="17"/>
  <c r="R33" i="17"/>
  <c r="R32" i="17"/>
  <c r="R31" i="17"/>
  <c r="R30" i="17"/>
  <c r="R28" i="17"/>
  <c r="R27" i="17"/>
  <c r="R26" i="17"/>
  <c r="R25" i="17"/>
  <c r="R24" i="17"/>
  <c r="R23" i="17"/>
  <c r="R22" i="17"/>
  <c r="R21" i="17"/>
  <c r="R20" i="17"/>
  <c r="R19" i="17"/>
  <c r="R18" i="17"/>
  <c r="R17" i="17"/>
  <c r="R16" i="17"/>
  <c r="R15" i="17"/>
  <c r="R14" i="17"/>
  <c r="R13" i="17"/>
  <c r="R12" i="17"/>
  <c r="O80" i="17"/>
  <c r="E80" i="17"/>
  <c r="AA78" i="17"/>
  <c r="V77" i="17"/>
  <c r="AA67" i="17"/>
  <c r="AA66" i="17"/>
  <c r="AA64" i="17"/>
  <c r="AA63" i="17"/>
  <c r="AA62" i="17"/>
  <c r="AA61" i="17"/>
  <c r="AA60" i="17"/>
  <c r="AA59" i="17"/>
  <c r="AA58" i="17"/>
  <c r="AA57" i="17"/>
  <c r="AA56" i="17"/>
  <c r="AA55" i="17"/>
  <c r="AA54" i="17"/>
  <c r="AA53" i="17"/>
  <c r="AA52" i="17"/>
  <c r="AA51" i="17"/>
  <c r="AA50" i="17"/>
  <c r="AA49" i="17"/>
  <c r="AA44" i="17"/>
  <c r="O44" i="17"/>
  <c r="O82" i="17"/>
  <c r="E44" i="17"/>
  <c r="E82" i="17"/>
  <c r="AA43" i="17"/>
  <c r="AA42" i="17"/>
  <c r="AA41" i="17"/>
  <c r="AA40" i="17"/>
  <c r="AA39" i="17"/>
  <c r="AA38" i="17"/>
  <c r="AA37" i="17"/>
  <c r="AA36" i="17"/>
  <c r="AA35" i="17"/>
  <c r="AA34" i="17"/>
  <c r="AA33" i="17"/>
  <c r="AA32" i="17"/>
  <c r="AA31" i="17"/>
  <c r="AA30" i="17"/>
  <c r="AA29" i="17"/>
  <c r="AA28" i="17"/>
  <c r="AA27" i="17"/>
  <c r="AA26" i="17"/>
  <c r="AA25" i="17"/>
  <c r="AA24" i="17"/>
  <c r="AA23" i="17"/>
  <c r="AA22" i="17"/>
  <c r="AA21" i="17"/>
  <c r="AA20" i="17"/>
  <c r="AA19" i="17"/>
  <c r="AA18" i="17"/>
  <c r="AA68" i="17" s="1"/>
  <c r="AA74" i="17" s="1"/>
  <c r="AA17" i="17"/>
  <c r="AA16" i="17"/>
  <c r="AA15" i="17"/>
  <c r="AA14" i="17"/>
  <c r="AA13" i="17"/>
  <c r="AA12" i="17"/>
  <c r="V5" i="17"/>
  <c r="U83" i="17"/>
  <c r="V3" i="17"/>
  <c r="U81" i="17"/>
  <c r="O3" i="17"/>
  <c r="E3" i="17"/>
  <c r="O2" i="17"/>
  <c r="E2" i="17"/>
  <c r="R64" i="16"/>
  <c r="R62" i="16"/>
  <c r="R61" i="16"/>
  <c r="R57" i="16"/>
  <c r="R55" i="16"/>
  <c r="R54" i="16"/>
  <c r="R53" i="16"/>
  <c r="R52" i="16"/>
  <c r="R51" i="16"/>
  <c r="R50" i="16"/>
  <c r="R44" i="16"/>
  <c r="R43" i="16"/>
  <c r="R42" i="16"/>
  <c r="R41" i="16"/>
  <c r="R40" i="16"/>
  <c r="R39" i="16"/>
  <c r="R38" i="16"/>
  <c r="R37" i="16"/>
  <c r="R35" i="16"/>
  <c r="R34" i="16"/>
  <c r="R33" i="16"/>
  <c r="R32" i="16"/>
  <c r="R31" i="16"/>
  <c r="R30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O80" i="16"/>
  <c r="E80" i="16"/>
  <c r="AA78" i="16"/>
  <c r="V77" i="16"/>
  <c r="AA67" i="16"/>
  <c r="AB67" i="17" s="1"/>
  <c r="AA66" i="16"/>
  <c r="AA64" i="16"/>
  <c r="AA63" i="16"/>
  <c r="AA62" i="16"/>
  <c r="AA61" i="16"/>
  <c r="AA60" i="16"/>
  <c r="AA59" i="16"/>
  <c r="AA58" i="16"/>
  <c r="AB58" i="17" s="1"/>
  <c r="AA57" i="16"/>
  <c r="AA56" i="16"/>
  <c r="AA55" i="16"/>
  <c r="AA54" i="16"/>
  <c r="AA53" i="16"/>
  <c r="AA52" i="16"/>
  <c r="AA51" i="16"/>
  <c r="AA50" i="16"/>
  <c r="AB50" i="17" s="1"/>
  <c r="AA49" i="16"/>
  <c r="AA44" i="16"/>
  <c r="O44" i="16"/>
  <c r="E44" i="16"/>
  <c r="E82" i="16"/>
  <c r="AA43" i="16"/>
  <c r="AA42" i="16"/>
  <c r="AA41" i="16"/>
  <c r="AB41" i="17" s="1"/>
  <c r="AA40" i="16"/>
  <c r="AA39" i="16"/>
  <c r="AA38" i="16"/>
  <c r="AA37" i="16"/>
  <c r="AA36" i="16"/>
  <c r="AA35" i="16"/>
  <c r="AA34" i="16"/>
  <c r="AA33" i="16"/>
  <c r="AB33" i="17" s="1"/>
  <c r="AA32" i="16"/>
  <c r="AA31" i="16"/>
  <c r="AA30" i="16"/>
  <c r="AA29" i="16"/>
  <c r="AA28" i="16"/>
  <c r="AA27" i="16"/>
  <c r="AA26" i="16"/>
  <c r="AA25" i="16"/>
  <c r="AB25" i="17" s="1"/>
  <c r="AA24" i="16"/>
  <c r="AA23" i="16"/>
  <c r="AA22" i="16"/>
  <c r="AA21" i="16"/>
  <c r="AA20" i="16"/>
  <c r="AA19" i="16"/>
  <c r="AA18" i="16"/>
  <c r="AA17" i="16"/>
  <c r="AB17" i="17" s="1"/>
  <c r="AA16" i="16"/>
  <c r="AA15" i="16"/>
  <c r="AA14" i="16"/>
  <c r="AA13" i="16"/>
  <c r="AA12" i="16"/>
  <c r="W68" i="16"/>
  <c r="V5" i="16"/>
  <c r="U83" i="16"/>
  <c r="V3" i="16"/>
  <c r="U81" i="16" s="1"/>
  <c r="O3" i="16"/>
  <c r="E3" i="16"/>
  <c r="O2" i="16"/>
  <c r="E2" i="16"/>
  <c r="R64" i="15"/>
  <c r="R62" i="15"/>
  <c r="R61" i="15"/>
  <c r="R57" i="15"/>
  <c r="R55" i="15"/>
  <c r="R54" i="15"/>
  <c r="R53" i="15"/>
  <c r="R52" i="15"/>
  <c r="R51" i="15"/>
  <c r="R50" i="15"/>
  <c r="R44" i="15"/>
  <c r="R43" i="15"/>
  <c r="R42" i="15"/>
  <c r="R41" i="15"/>
  <c r="R40" i="15"/>
  <c r="R39" i="15"/>
  <c r="R38" i="15"/>
  <c r="R37" i="15"/>
  <c r="R35" i="15"/>
  <c r="R34" i="15"/>
  <c r="R33" i="15"/>
  <c r="R32" i="15"/>
  <c r="R31" i="15"/>
  <c r="R30" i="15"/>
  <c r="R28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O80" i="15"/>
  <c r="E80" i="15"/>
  <c r="AA78" i="15"/>
  <c r="V77" i="15"/>
  <c r="AA67" i="15"/>
  <c r="AA66" i="15"/>
  <c r="AA64" i="15"/>
  <c r="AA63" i="15"/>
  <c r="AA62" i="15"/>
  <c r="AA61" i="15"/>
  <c r="AA60" i="15"/>
  <c r="AA59" i="15"/>
  <c r="AA58" i="15"/>
  <c r="AA57" i="15"/>
  <c r="AA56" i="15"/>
  <c r="AA55" i="15"/>
  <c r="AA54" i="15"/>
  <c r="AA53" i="15"/>
  <c r="AA52" i="15"/>
  <c r="AA51" i="15"/>
  <c r="AA50" i="15"/>
  <c r="AA49" i="15"/>
  <c r="AA44" i="15"/>
  <c r="O44" i="15"/>
  <c r="O82" i="15"/>
  <c r="E44" i="15"/>
  <c r="AA43" i="15"/>
  <c r="AA42" i="15"/>
  <c r="AA41" i="15"/>
  <c r="AA40" i="15"/>
  <c r="AA39" i="15"/>
  <c r="AA38" i="15"/>
  <c r="AA37" i="15"/>
  <c r="AA36" i="15"/>
  <c r="AA35" i="15"/>
  <c r="AA34" i="15"/>
  <c r="AA33" i="15"/>
  <c r="AA32" i="15"/>
  <c r="AA31" i="15"/>
  <c r="AA30" i="15"/>
  <c r="AA29" i="15"/>
  <c r="AA28" i="15"/>
  <c r="AA27" i="15"/>
  <c r="AA26" i="15"/>
  <c r="AA25" i="15"/>
  <c r="AA24" i="15"/>
  <c r="AA23" i="15"/>
  <c r="AA22" i="15"/>
  <c r="AA21" i="15"/>
  <c r="AA20" i="15"/>
  <c r="AA19" i="15"/>
  <c r="AA18" i="15"/>
  <c r="AA17" i="15"/>
  <c r="AA16" i="15"/>
  <c r="AA15" i="15"/>
  <c r="AA14" i="15"/>
  <c r="AA13" i="15"/>
  <c r="AA12" i="15"/>
  <c r="V5" i="15"/>
  <c r="U83" i="15"/>
  <c r="V3" i="15"/>
  <c r="U81" i="15" s="1"/>
  <c r="O3" i="15"/>
  <c r="E3" i="15"/>
  <c r="O2" i="15"/>
  <c r="E2" i="15"/>
  <c r="R64" i="14"/>
  <c r="R62" i="14"/>
  <c r="R61" i="14"/>
  <c r="R57" i="14"/>
  <c r="R55" i="14"/>
  <c r="R54" i="14"/>
  <c r="R53" i="14"/>
  <c r="R52" i="14"/>
  <c r="R51" i="14"/>
  <c r="R50" i="14"/>
  <c r="R44" i="14"/>
  <c r="R43" i="14"/>
  <c r="R42" i="14"/>
  <c r="R41" i="14"/>
  <c r="R40" i="14"/>
  <c r="R39" i="14"/>
  <c r="R38" i="14"/>
  <c r="R37" i="14"/>
  <c r="R35" i="14"/>
  <c r="R34" i="14"/>
  <c r="R33" i="14"/>
  <c r="R32" i="14"/>
  <c r="R31" i="14"/>
  <c r="R30" i="14"/>
  <c r="R28" i="14"/>
  <c r="R27" i="14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O80" i="14"/>
  <c r="E80" i="14"/>
  <c r="AA78" i="14"/>
  <c r="V77" i="14"/>
  <c r="AA67" i="14"/>
  <c r="AA66" i="14"/>
  <c r="AA64" i="14"/>
  <c r="AA63" i="14"/>
  <c r="AA62" i="14"/>
  <c r="AA61" i="14"/>
  <c r="AA60" i="14"/>
  <c r="AA59" i="14"/>
  <c r="AA58" i="14"/>
  <c r="AA57" i="14"/>
  <c r="AA56" i="14"/>
  <c r="AA55" i="14"/>
  <c r="AA54" i="14"/>
  <c r="AA53" i="14"/>
  <c r="AA52" i="14"/>
  <c r="AA51" i="14"/>
  <c r="AA50" i="14"/>
  <c r="AA49" i="14"/>
  <c r="AA44" i="14"/>
  <c r="O44" i="14"/>
  <c r="O82" i="14" s="1"/>
  <c r="E44" i="14"/>
  <c r="E82" i="14" s="1"/>
  <c r="AA43" i="14"/>
  <c r="AA42" i="14"/>
  <c r="AA41" i="14"/>
  <c r="AA40" i="14"/>
  <c r="AA39" i="14"/>
  <c r="AA38" i="14"/>
  <c r="AA37" i="14"/>
  <c r="AA36" i="14"/>
  <c r="AA35" i="14"/>
  <c r="AA34" i="14"/>
  <c r="AA33" i="14"/>
  <c r="AA32" i="14"/>
  <c r="AA31" i="14"/>
  <c r="AA30" i="14"/>
  <c r="AA29" i="14"/>
  <c r="AA28" i="14"/>
  <c r="AA27" i="14"/>
  <c r="AA26" i="14"/>
  <c r="AA25" i="14"/>
  <c r="AA24" i="14"/>
  <c r="AA23" i="14"/>
  <c r="AA22" i="14"/>
  <c r="AA21" i="14"/>
  <c r="AA20" i="14"/>
  <c r="AA19" i="14"/>
  <c r="AA18" i="14"/>
  <c r="AA17" i="14"/>
  <c r="AA16" i="14"/>
  <c r="AA15" i="14"/>
  <c r="AA14" i="14"/>
  <c r="AA13" i="14"/>
  <c r="AA12" i="14"/>
  <c r="V5" i="14"/>
  <c r="U83" i="14" s="1"/>
  <c r="V3" i="14"/>
  <c r="U81" i="14"/>
  <c r="O3" i="14"/>
  <c r="E3" i="14"/>
  <c r="O2" i="14"/>
  <c r="E2" i="14"/>
  <c r="R64" i="13"/>
  <c r="R62" i="13"/>
  <c r="R61" i="13"/>
  <c r="R57" i="13"/>
  <c r="R55" i="13"/>
  <c r="R54" i="13"/>
  <c r="R53" i="13"/>
  <c r="R52" i="13"/>
  <c r="R51" i="13"/>
  <c r="R50" i="13"/>
  <c r="R44" i="13"/>
  <c r="R43" i="13"/>
  <c r="R42" i="13"/>
  <c r="R41" i="13"/>
  <c r="R40" i="13"/>
  <c r="R39" i="13"/>
  <c r="R38" i="13"/>
  <c r="R37" i="13"/>
  <c r="R35" i="13"/>
  <c r="R34" i="13"/>
  <c r="R33" i="13"/>
  <c r="R32" i="13"/>
  <c r="R31" i="13"/>
  <c r="R30" i="13"/>
  <c r="R28" i="13"/>
  <c r="R27" i="13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O80" i="13"/>
  <c r="E80" i="13"/>
  <c r="AA78" i="13"/>
  <c r="V77" i="13"/>
  <c r="AA67" i="13"/>
  <c r="AA66" i="13"/>
  <c r="AA64" i="13"/>
  <c r="AA63" i="13"/>
  <c r="AA62" i="13"/>
  <c r="AA61" i="13"/>
  <c r="AA60" i="13"/>
  <c r="AA59" i="13"/>
  <c r="AA58" i="13"/>
  <c r="AA57" i="13"/>
  <c r="AA56" i="13"/>
  <c r="AA55" i="13"/>
  <c r="AA54" i="13"/>
  <c r="AA53" i="13"/>
  <c r="AA52" i="13"/>
  <c r="AA51" i="13"/>
  <c r="AA50" i="13"/>
  <c r="AA49" i="13"/>
  <c r="AA44" i="13"/>
  <c r="O44" i="13"/>
  <c r="O82" i="13"/>
  <c r="E44" i="13"/>
  <c r="E82" i="13"/>
  <c r="AA43" i="13"/>
  <c r="AA42" i="13"/>
  <c r="AA41" i="13"/>
  <c r="AA40" i="13"/>
  <c r="AA39" i="13"/>
  <c r="AA38" i="13"/>
  <c r="AA37" i="13"/>
  <c r="AA36" i="13"/>
  <c r="AA35" i="13"/>
  <c r="AA34" i="13"/>
  <c r="AA33" i="13"/>
  <c r="AA32" i="13"/>
  <c r="AA31" i="13"/>
  <c r="AA30" i="13"/>
  <c r="AA29" i="13"/>
  <c r="AA28" i="13"/>
  <c r="AA27" i="13"/>
  <c r="AA26" i="13"/>
  <c r="AA25" i="13"/>
  <c r="AA24" i="13"/>
  <c r="AA23" i="13"/>
  <c r="AA22" i="13"/>
  <c r="AA21" i="13"/>
  <c r="AA20" i="13"/>
  <c r="AA19" i="13"/>
  <c r="AA18" i="13"/>
  <c r="AA17" i="13"/>
  <c r="AA16" i="13"/>
  <c r="AA15" i="13"/>
  <c r="AA14" i="13"/>
  <c r="AA68" i="13" s="1"/>
  <c r="AA74" i="13" s="1"/>
  <c r="AA13" i="13"/>
  <c r="AA12" i="13"/>
  <c r="V5" i="13"/>
  <c r="U83" i="13"/>
  <c r="V3" i="13"/>
  <c r="U81" i="13"/>
  <c r="O3" i="13"/>
  <c r="E3" i="13"/>
  <c r="O2" i="13"/>
  <c r="E2" i="13"/>
  <c r="R64" i="12"/>
  <c r="R62" i="12"/>
  <c r="R61" i="12"/>
  <c r="R57" i="12"/>
  <c r="R55" i="12"/>
  <c r="R54" i="12"/>
  <c r="R53" i="12"/>
  <c r="R52" i="12"/>
  <c r="R51" i="12"/>
  <c r="R50" i="12"/>
  <c r="R44" i="12"/>
  <c r="R43" i="12"/>
  <c r="R42" i="12"/>
  <c r="R41" i="12"/>
  <c r="R40" i="12"/>
  <c r="R39" i="12"/>
  <c r="R38" i="12"/>
  <c r="R37" i="12"/>
  <c r="R35" i="12"/>
  <c r="R34" i="12"/>
  <c r="R33" i="12"/>
  <c r="R32" i="12"/>
  <c r="R31" i="12"/>
  <c r="R30" i="12"/>
  <c r="R28" i="12"/>
  <c r="R27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O80" i="12"/>
  <c r="E80" i="12"/>
  <c r="AA78" i="12"/>
  <c r="V77" i="12"/>
  <c r="AA67" i="12"/>
  <c r="AA66" i="12"/>
  <c r="AA64" i="12"/>
  <c r="AA63" i="12"/>
  <c r="AA62" i="12"/>
  <c r="AA61" i="12"/>
  <c r="AA60" i="12"/>
  <c r="AA59" i="12"/>
  <c r="AA58" i="12"/>
  <c r="AA57" i="12"/>
  <c r="AA56" i="12"/>
  <c r="AA55" i="12"/>
  <c r="AA54" i="12"/>
  <c r="AA53" i="12"/>
  <c r="AA52" i="12"/>
  <c r="AA51" i="12"/>
  <c r="AA50" i="12"/>
  <c r="AA49" i="12"/>
  <c r="AA44" i="12"/>
  <c r="O44" i="12"/>
  <c r="O82" i="12"/>
  <c r="E44" i="12"/>
  <c r="E82" i="12" s="1"/>
  <c r="AA43" i="12"/>
  <c r="AA42" i="12"/>
  <c r="AA41" i="12"/>
  <c r="AA40" i="12"/>
  <c r="AA39" i="12"/>
  <c r="AA38" i="12"/>
  <c r="AA37" i="12"/>
  <c r="AA36" i="12"/>
  <c r="AA35" i="12"/>
  <c r="AA34" i="12"/>
  <c r="AA33" i="12"/>
  <c r="AA32" i="12"/>
  <c r="AA31" i="12"/>
  <c r="AA30" i="12"/>
  <c r="AA29" i="12"/>
  <c r="AA28" i="12"/>
  <c r="AA27" i="12"/>
  <c r="AA26" i="12"/>
  <c r="AA25" i="12"/>
  <c r="AA24" i="12"/>
  <c r="AA23" i="12"/>
  <c r="AA22" i="12"/>
  <c r="AA21" i="12"/>
  <c r="AA20" i="12"/>
  <c r="AA19" i="12"/>
  <c r="AA18" i="12"/>
  <c r="AA17" i="12"/>
  <c r="AA16" i="12"/>
  <c r="AA15" i="12"/>
  <c r="AA14" i="12"/>
  <c r="AA13" i="12"/>
  <c r="AA12" i="12"/>
  <c r="V5" i="12"/>
  <c r="U83" i="12" s="1"/>
  <c r="V3" i="12"/>
  <c r="U81" i="12" s="1"/>
  <c r="O3" i="12"/>
  <c r="E3" i="12"/>
  <c r="O2" i="12"/>
  <c r="E2" i="12"/>
  <c r="R12" i="11"/>
  <c r="O80" i="11"/>
  <c r="E80" i="11"/>
  <c r="AA78" i="11"/>
  <c r="V77" i="11"/>
  <c r="AA67" i="11"/>
  <c r="AA66" i="11"/>
  <c r="AA64" i="11"/>
  <c r="AB64" i="12" s="1"/>
  <c r="AA63" i="11"/>
  <c r="AA62" i="11"/>
  <c r="AA61" i="11"/>
  <c r="AA60" i="11"/>
  <c r="AB60" i="12" s="1"/>
  <c r="AA59" i="11"/>
  <c r="AA58" i="11"/>
  <c r="AA57" i="11"/>
  <c r="AA56" i="11"/>
  <c r="AA55" i="11"/>
  <c r="AA54" i="11"/>
  <c r="AA53" i="11"/>
  <c r="AA52" i="11"/>
  <c r="AA51" i="11"/>
  <c r="AA50" i="11"/>
  <c r="AA49" i="11"/>
  <c r="AA44" i="11"/>
  <c r="O44" i="11"/>
  <c r="O82" i="11"/>
  <c r="E44" i="11"/>
  <c r="E82" i="11" s="1"/>
  <c r="AA43" i="11"/>
  <c r="AA42" i="11"/>
  <c r="AA41" i="11"/>
  <c r="AA40" i="11"/>
  <c r="AA39" i="11"/>
  <c r="AA38" i="11"/>
  <c r="AA37" i="11"/>
  <c r="AA36" i="11"/>
  <c r="AA35" i="11"/>
  <c r="AA34" i="11"/>
  <c r="AB34" i="12" s="1"/>
  <c r="AA33" i="11"/>
  <c r="AA32" i="11"/>
  <c r="AB32" i="12" s="1"/>
  <c r="AA31" i="11"/>
  <c r="AA30" i="11"/>
  <c r="AA29" i="11"/>
  <c r="AA28" i="11"/>
  <c r="AA27" i="11"/>
  <c r="AA26" i="11"/>
  <c r="AB26" i="12" s="1"/>
  <c r="AA25" i="11"/>
  <c r="AA24" i="11"/>
  <c r="AB24" i="12" s="1"/>
  <c r="AA23" i="11"/>
  <c r="AA22" i="11"/>
  <c r="AA21" i="11"/>
  <c r="AA20" i="11"/>
  <c r="AA19" i="11"/>
  <c r="AA18" i="11"/>
  <c r="AB18" i="12" s="1"/>
  <c r="AA17" i="11"/>
  <c r="AA16" i="11"/>
  <c r="AB16" i="12" s="1"/>
  <c r="AA15" i="11"/>
  <c r="AA14" i="11"/>
  <c r="AB14" i="12" s="1"/>
  <c r="AA13" i="11"/>
  <c r="AA12" i="11"/>
  <c r="W68" i="11"/>
  <c r="V5" i="11"/>
  <c r="U83" i="11" s="1"/>
  <c r="V3" i="11"/>
  <c r="U81" i="11" s="1"/>
  <c r="O3" i="11"/>
  <c r="E3" i="11"/>
  <c r="O2" i="11"/>
  <c r="E2" i="11"/>
  <c r="W68" i="9"/>
  <c r="W74" i="9" s="1"/>
  <c r="W70" i="9" s="1"/>
  <c r="O80" i="10"/>
  <c r="E80" i="10"/>
  <c r="AA78" i="10"/>
  <c r="V77" i="10"/>
  <c r="AA67" i="10"/>
  <c r="AA66" i="10"/>
  <c r="AA64" i="10"/>
  <c r="AA63" i="10"/>
  <c r="AA62" i="10"/>
  <c r="AA61" i="10"/>
  <c r="AA60" i="10"/>
  <c r="AA59" i="10"/>
  <c r="AA58" i="10"/>
  <c r="AA57" i="10"/>
  <c r="AA56" i="10"/>
  <c r="AA55" i="10"/>
  <c r="AA54" i="10"/>
  <c r="AA53" i="10"/>
  <c r="AA52" i="10"/>
  <c r="AA51" i="10"/>
  <c r="AA50" i="10"/>
  <c r="AA49" i="10"/>
  <c r="AA44" i="10"/>
  <c r="O44" i="10"/>
  <c r="O82" i="10" s="1"/>
  <c r="E44" i="10"/>
  <c r="E82" i="10"/>
  <c r="AA43" i="10"/>
  <c r="AA42" i="10"/>
  <c r="AA41" i="10"/>
  <c r="AA40" i="10"/>
  <c r="AA39" i="10"/>
  <c r="AA38" i="10"/>
  <c r="AA37" i="10"/>
  <c r="AA36" i="10"/>
  <c r="AA35" i="10"/>
  <c r="AA34" i="10"/>
  <c r="AA33" i="10"/>
  <c r="AA32" i="10"/>
  <c r="AA31" i="10"/>
  <c r="AB31" i="11" s="1"/>
  <c r="AA30" i="10"/>
  <c r="AA29" i="10"/>
  <c r="AA28" i="10"/>
  <c r="AA27" i="10"/>
  <c r="AA26" i="10"/>
  <c r="AA25" i="10"/>
  <c r="AA24" i="10"/>
  <c r="AA23" i="10"/>
  <c r="AA22" i="10"/>
  <c r="AA21" i="10"/>
  <c r="AA20" i="10"/>
  <c r="AA19" i="10"/>
  <c r="AA18" i="10"/>
  <c r="AA17" i="10"/>
  <c r="AA16" i="10"/>
  <c r="AA15" i="10"/>
  <c r="AA14" i="10"/>
  <c r="AA13" i="10"/>
  <c r="AA12" i="10"/>
  <c r="V5" i="10"/>
  <c r="U83" i="10" s="1"/>
  <c r="V3" i="10"/>
  <c r="U81" i="10" s="1"/>
  <c r="O3" i="10"/>
  <c r="E3" i="10"/>
  <c r="O2" i="10"/>
  <c r="E2" i="10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67" i="8"/>
  <c r="R66" i="8"/>
  <c r="R65" i="8"/>
  <c r="R64" i="8"/>
  <c r="R63" i="8"/>
  <c r="R62" i="8"/>
  <c r="R61" i="8"/>
  <c r="R60" i="8"/>
  <c r="R59" i="8"/>
  <c r="R58" i="8"/>
  <c r="R57" i="8"/>
  <c r="R56" i="8"/>
  <c r="R55" i="8"/>
  <c r="R54" i="8"/>
  <c r="R53" i="8"/>
  <c r="R52" i="8"/>
  <c r="R51" i="8"/>
  <c r="R50" i="8"/>
  <c r="R49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AA78" i="9"/>
  <c r="V77" i="9"/>
  <c r="U73" i="9"/>
  <c r="AA67" i="9"/>
  <c r="AA66" i="9"/>
  <c r="AA64" i="9"/>
  <c r="AA63" i="9"/>
  <c r="AA62" i="9"/>
  <c r="AA61" i="9"/>
  <c r="AA60" i="9"/>
  <c r="AA59" i="9"/>
  <c r="AB59" i="10" s="1"/>
  <c r="AA58" i="9"/>
  <c r="AA57" i="9"/>
  <c r="AA56" i="9"/>
  <c r="AA55" i="9"/>
  <c r="AA54" i="9"/>
  <c r="AA53" i="9"/>
  <c r="AB53" i="10" s="1"/>
  <c r="AA52" i="9"/>
  <c r="AA51" i="9"/>
  <c r="AA50" i="9"/>
  <c r="AA49" i="9"/>
  <c r="AA44" i="9"/>
  <c r="O44" i="9"/>
  <c r="O82" i="9"/>
  <c r="E44" i="9"/>
  <c r="E82" i="9" s="1"/>
  <c r="AA43" i="9"/>
  <c r="AA42" i="9"/>
  <c r="AA41" i="9"/>
  <c r="AA40" i="9"/>
  <c r="AA39" i="9"/>
  <c r="AA38" i="9"/>
  <c r="AA37" i="9"/>
  <c r="AA36" i="9"/>
  <c r="AA35" i="9"/>
  <c r="AA34" i="9"/>
  <c r="AA33" i="9"/>
  <c r="AA32" i="9"/>
  <c r="AA31" i="9"/>
  <c r="AA30" i="9"/>
  <c r="AB30" i="10" s="1"/>
  <c r="AA29" i="9"/>
  <c r="AA28" i="9"/>
  <c r="AA27" i="9"/>
  <c r="AA26" i="9"/>
  <c r="AA25" i="9"/>
  <c r="AA24" i="9"/>
  <c r="AA23" i="9"/>
  <c r="AA22" i="9"/>
  <c r="AA21" i="9"/>
  <c r="AA20" i="9"/>
  <c r="AA19" i="9"/>
  <c r="AA18" i="9"/>
  <c r="AA17" i="9"/>
  <c r="AA16" i="9"/>
  <c r="AA15" i="9"/>
  <c r="AA14" i="9"/>
  <c r="AB14" i="10" s="1"/>
  <c r="AA13" i="9"/>
  <c r="AA12" i="9"/>
  <c r="V5" i="9"/>
  <c r="U83" i="9" s="1"/>
  <c r="V3" i="9"/>
  <c r="U81" i="9" s="1"/>
  <c r="O3" i="9"/>
  <c r="E3" i="9"/>
  <c r="O2" i="9"/>
  <c r="E2" i="9"/>
  <c r="AA78" i="8"/>
  <c r="V77" i="8"/>
  <c r="U73" i="8"/>
  <c r="AA67" i="8"/>
  <c r="AA66" i="8"/>
  <c r="AA64" i="8"/>
  <c r="AA63" i="8"/>
  <c r="AA62" i="8"/>
  <c r="AA61" i="8"/>
  <c r="AA60" i="8"/>
  <c r="AA59" i="8"/>
  <c r="AA58" i="8"/>
  <c r="AA57" i="8"/>
  <c r="AA56" i="8"/>
  <c r="AA55" i="8"/>
  <c r="AA54" i="8"/>
  <c r="AA53" i="8"/>
  <c r="AA52" i="8"/>
  <c r="AA51" i="8"/>
  <c r="AA50" i="8"/>
  <c r="AA49" i="8"/>
  <c r="AA44" i="8"/>
  <c r="O44" i="8"/>
  <c r="O82" i="8" s="1"/>
  <c r="E44" i="8"/>
  <c r="E82" i="8" s="1"/>
  <c r="AA43" i="8"/>
  <c r="AA42" i="8"/>
  <c r="AA41" i="8"/>
  <c r="AA40" i="8"/>
  <c r="AB40" i="9" s="1"/>
  <c r="AA39" i="8"/>
  <c r="AA38" i="8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AA24" i="8"/>
  <c r="AB24" i="9" s="1"/>
  <c r="AA23" i="8"/>
  <c r="AA22" i="8"/>
  <c r="AA21" i="8"/>
  <c r="AA20" i="8"/>
  <c r="AA19" i="8"/>
  <c r="AA18" i="8"/>
  <c r="AA17" i="8"/>
  <c r="AA16" i="8"/>
  <c r="AA15" i="8"/>
  <c r="AA14" i="8"/>
  <c r="AA13" i="8"/>
  <c r="AA12" i="8"/>
  <c r="V5" i="8"/>
  <c r="U83" i="8"/>
  <c r="V3" i="8"/>
  <c r="U81" i="8" s="1"/>
  <c r="O3" i="8"/>
  <c r="E3" i="8"/>
  <c r="O2" i="8"/>
  <c r="E2" i="8"/>
  <c r="R67" i="7"/>
  <c r="R66" i="7"/>
  <c r="R65" i="7"/>
  <c r="R64" i="7"/>
  <c r="R63" i="7"/>
  <c r="R62" i="7"/>
  <c r="R61" i="7"/>
  <c r="R60" i="7"/>
  <c r="R59" i="7"/>
  <c r="R58" i="7"/>
  <c r="R57" i="7"/>
  <c r="R56" i="7"/>
  <c r="R55" i="7"/>
  <c r="R54" i="7"/>
  <c r="R53" i="7"/>
  <c r="R52" i="7"/>
  <c r="R51" i="7"/>
  <c r="R50" i="7"/>
  <c r="R49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AA78" i="7"/>
  <c r="V77" i="7"/>
  <c r="U73" i="7"/>
  <c r="AA67" i="7"/>
  <c r="AA66" i="7"/>
  <c r="AA64" i="7"/>
  <c r="AA63" i="7"/>
  <c r="AA62" i="7"/>
  <c r="AA61" i="7"/>
  <c r="AA60" i="7"/>
  <c r="AA59" i="7"/>
  <c r="AA58" i="7"/>
  <c r="AA57" i="7"/>
  <c r="AA56" i="7"/>
  <c r="AA55" i="7"/>
  <c r="AA54" i="7"/>
  <c r="AA53" i="7"/>
  <c r="AA52" i="7"/>
  <c r="AA51" i="7"/>
  <c r="AA50" i="7"/>
  <c r="AA49" i="7"/>
  <c r="AA44" i="7"/>
  <c r="O44" i="7"/>
  <c r="O82" i="7"/>
  <c r="E44" i="7"/>
  <c r="E82" i="7"/>
  <c r="AA43" i="7"/>
  <c r="AA42" i="7"/>
  <c r="AA41" i="7"/>
  <c r="AA40" i="7"/>
  <c r="AA39" i="7"/>
  <c r="AA38" i="7"/>
  <c r="AA37" i="7"/>
  <c r="AA36" i="7"/>
  <c r="AA35" i="7"/>
  <c r="AB35" i="8" s="1"/>
  <c r="AA34" i="7"/>
  <c r="AA33" i="7"/>
  <c r="AA32" i="7"/>
  <c r="AA31" i="7"/>
  <c r="AA30" i="7"/>
  <c r="AA29" i="7"/>
  <c r="AA28" i="7"/>
  <c r="AA27" i="7"/>
  <c r="AA26" i="7"/>
  <c r="AA25" i="7"/>
  <c r="AA24" i="7"/>
  <c r="AA23" i="7"/>
  <c r="AA22" i="7"/>
  <c r="AA21" i="7"/>
  <c r="AA20" i="7"/>
  <c r="AA19" i="7"/>
  <c r="AB19" i="8" s="1"/>
  <c r="AA18" i="7"/>
  <c r="AA17" i="7"/>
  <c r="AA16" i="7"/>
  <c r="AA15" i="7"/>
  <c r="AA14" i="7"/>
  <c r="AA13" i="7"/>
  <c r="AA12" i="7"/>
  <c r="AA68" i="7"/>
  <c r="W68" i="7"/>
  <c r="V5" i="7"/>
  <c r="U83" i="7"/>
  <c r="V3" i="7"/>
  <c r="U81" i="7"/>
  <c r="O3" i="7"/>
  <c r="E3" i="7"/>
  <c r="O2" i="7"/>
  <c r="E2" i="7"/>
  <c r="AA67" i="4"/>
  <c r="AA66" i="4"/>
  <c r="AB66" i="5" s="1"/>
  <c r="AA64" i="4"/>
  <c r="AA63" i="4"/>
  <c r="AB63" i="5" s="1"/>
  <c r="AA62" i="4"/>
  <c r="AA61" i="4"/>
  <c r="AB61" i="5" s="1"/>
  <c r="AA60" i="4"/>
  <c r="AB60" i="5" s="1"/>
  <c r="AA59" i="4"/>
  <c r="AB59" i="5" s="1"/>
  <c r="AA58" i="4"/>
  <c r="AA57" i="4"/>
  <c r="AB57" i="5" s="1"/>
  <c r="AA56" i="4"/>
  <c r="AA55" i="4"/>
  <c r="AB55" i="5" s="1"/>
  <c r="AA54" i="4"/>
  <c r="AA53" i="4"/>
  <c r="AB53" i="5" s="1"/>
  <c r="AA52" i="4"/>
  <c r="AB52" i="5" s="1"/>
  <c r="AA51" i="4"/>
  <c r="AB51" i="5" s="1"/>
  <c r="AA50" i="4"/>
  <c r="AA49" i="4"/>
  <c r="AB49" i="5" s="1"/>
  <c r="AA44" i="4"/>
  <c r="AA43" i="4"/>
  <c r="AB43" i="5" s="1"/>
  <c r="AA42" i="4"/>
  <c r="AA41" i="4"/>
  <c r="AB41" i="5" s="1"/>
  <c r="AA40" i="4"/>
  <c r="AB40" i="5" s="1"/>
  <c r="AA39" i="4"/>
  <c r="AB39" i="5" s="1"/>
  <c r="AA38" i="4"/>
  <c r="AA37" i="4"/>
  <c r="AB37" i="5" s="1"/>
  <c r="AA36" i="4"/>
  <c r="AA35" i="4"/>
  <c r="AB35" i="5" s="1"/>
  <c r="AA34" i="4"/>
  <c r="AA33" i="4"/>
  <c r="AB33" i="5" s="1"/>
  <c r="AA32" i="4"/>
  <c r="AB32" i="5" s="1"/>
  <c r="AA31" i="4"/>
  <c r="AB31" i="5" s="1"/>
  <c r="AA30" i="4"/>
  <c r="AA29" i="4"/>
  <c r="AB29" i="5" s="1"/>
  <c r="AA28" i="4"/>
  <c r="AA26" i="4"/>
  <c r="AA25" i="4"/>
  <c r="AA24" i="4"/>
  <c r="AB24" i="5" s="1"/>
  <c r="AA23" i="4"/>
  <c r="AB23" i="5" s="1"/>
  <c r="AA22" i="4"/>
  <c r="AA21" i="4"/>
  <c r="AA20" i="4"/>
  <c r="AB20" i="5" s="1"/>
  <c r="AA19" i="4"/>
  <c r="AA18" i="4"/>
  <c r="AA17" i="4"/>
  <c r="AA16" i="4"/>
  <c r="AB16" i="5" s="1"/>
  <c r="AA15" i="4"/>
  <c r="AB15" i="5" s="1"/>
  <c r="AA14" i="4"/>
  <c r="AA13" i="4"/>
  <c r="W67" i="4"/>
  <c r="Z60" i="4"/>
  <c r="Z58" i="4"/>
  <c r="Z56" i="4"/>
  <c r="Z54" i="4"/>
  <c r="Z52" i="4"/>
  <c r="Z50" i="4"/>
  <c r="AA78" i="4"/>
  <c r="V77" i="4"/>
  <c r="Z73" i="4"/>
  <c r="AA77" i="4"/>
  <c r="AA80" i="4"/>
  <c r="X68" i="4"/>
  <c r="X74" i="4"/>
  <c r="AA87" i="4" s="1"/>
  <c r="V68" i="4"/>
  <c r="U73" i="4"/>
  <c r="Z62" i="4"/>
  <c r="Z59" i="4"/>
  <c r="Z57" i="4"/>
  <c r="Z55" i="4"/>
  <c r="Z53" i="4"/>
  <c r="Z51" i="4"/>
  <c r="Z49" i="4"/>
  <c r="Z66" i="4"/>
  <c r="Z65" i="4"/>
  <c r="Z64" i="4"/>
  <c r="Z63" i="4"/>
  <c r="Z61" i="4"/>
  <c r="O44" i="4"/>
  <c r="O82" i="4" s="1"/>
  <c r="E44" i="4"/>
  <c r="E82" i="4"/>
  <c r="O3" i="4"/>
  <c r="E3" i="4"/>
  <c r="O2" i="4"/>
  <c r="E2" i="4"/>
  <c r="AA78" i="5"/>
  <c r="V77" i="5"/>
  <c r="U73" i="5"/>
  <c r="AA67" i="5"/>
  <c r="AB67" i="5"/>
  <c r="AA66" i="5"/>
  <c r="AA64" i="5"/>
  <c r="AB64" i="7" s="1"/>
  <c r="AB64" i="5"/>
  <c r="AA63" i="5"/>
  <c r="AA62" i="5"/>
  <c r="AB62" i="5"/>
  <c r="AA61" i="5"/>
  <c r="AA60" i="5"/>
  <c r="AA59" i="5"/>
  <c r="AA58" i="5"/>
  <c r="AB58" i="5"/>
  <c r="AA57" i="5"/>
  <c r="AA56" i="5"/>
  <c r="AB56" i="5"/>
  <c r="AA55" i="5"/>
  <c r="AA54" i="5"/>
  <c r="AB54" i="5"/>
  <c r="AA53" i="5"/>
  <c r="AA52" i="5"/>
  <c r="AA51" i="5"/>
  <c r="AA50" i="5"/>
  <c r="AB50" i="5"/>
  <c r="AA49" i="5"/>
  <c r="AA44" i="5"/>
  <c r="AB44" i="5"/>
  <c r="O44" i="5"/>
  <c r="O82" i="5" s="1"/>
  <c r="E44" i="5"/>
  <c r="E82" i="5" s="1"/>
  <c r="AA43" i="5"/>
  <c r="AA42" i="5"/>
  <c r="AB42" i="5"/>
  <c r="AA41" i="5"/>
  <c r="AA40" i="5"/>
  <c r="AA39" i="5"/>
  <c r="AA38" i="5"/>
  <c r="AB38" i="5"/>
  <c r="AA37" i="5"/>
  <c r="AA36" i="5"/>
  <c r="AB36" i="5"/>
  <c r="AA35" i="5"/>
  <c r="AA34" i="5"/>
  <c r="AB34" i="5"/>
  <c r="AA33" i="5"/>
  <c r="AB33" i="7" s="1"/>
  <c r="AA32" i="5"/>
  <c r="AA31" i="5"/>
  <c r="AA30" i="5"/>
  <c r="AB30" i="5"/>
  <c r="AA29" i="5"/>
  <c r="AA28" i="5"/>
  <c r="AB28" i="5"/>
  <c r="AA27" i="5"/>
  <c r="AB27" i="7" s="1"/>
  <c r="AB27" i="5"/>
  <c r="AA26" i="5"/>
  <c r="AB26" i="5"/>
  <c r="AA25" i="5"/>
  <c r="AB25" i="5"/>
  <c r="AA24" i="5"/>
  <c r="AA23" i="5"/>
  <c r="AA22" i="5"/>
  <c r="AA68" i="5" s="1"/>
  <c r="AA74" i="5" s="1"/>
  <c r="AA85" i="5" s="1"/>
  <c r="AB22" i="5"/>
  <c r="AA21" i="5"/>
  <c r="AB21" i="5"/>
  <c r="AA20" i="5"/>
  <c r="AB20" i="7" s="1"/>
  <c r="AA19" i="5"/>
  <c r="AB19" i="5"/>
  <c r="AA18" i="5"/>
  <c r="AB18" i="5"/>
  <c r="AA17" i="5"/>
  <c r="AB17" i="5"/>
  <c r="AA16" i="5"/>
  <c r="AA15" i="5"/>
  <c r="AA14" i="5"/>
  <c r="AB14" i="5"/>
  <c r="AA13" i="5"/>
  <c r="AB13" i="5"/>
  <c r="AA12" i="5"/>
  <c r="W68" i="5"/>
  <c r="V5" i="5"/>
  <c r="U83" i="5" s="1"/>
  <c r="V3" i="5"/>
  <c r="U81" i="5" s="1"/>
  <c r="O3" i="5"/>
  <c r="E3" i="5"/>
  <c r="O2" i="5"/>
  <c r="E2" i="5"/>
  <c r="AA70" i="49"/>
  <c r="AA85" i="49"/>
  <c r="AA85" i="56"/>
  <c r="AA70" i="56"/>
  <c r="AA70" i="55"/>
  <c r="AA85" i="55"/>
  <c r="AA70" i="51"/>
  <c r="AA85" i="51"/>
  <c r="AA70" i="47"/>
  <c r="AA85" i="47"/>
  <c r="AA68" i="12"/>
  <c r="AA74" i="12" s="1"/>
  <c r="AA68" i="14"/>
  <c r="AA74" i="14" s="1"/>
  <c r="AA68" i="18"/>
  <c r="AA74" i="18" s="1"/>
  <c r="AA68" i="19"/>
  <c r="AA74" i="19"/>
  <c r="AA70" i="19" s="1"/>
  <c r="AA68" i="23"/>
  <c r="AA74" i="23" s="1"/>
  <c r="AA68" i="25"/>
  <c r="AA74" i="25" s="1"/>
  <c r="AA68" i="26"/>
  <c r="AA74" i="26" s="1"/>
  <c r="AA74" i="28"/>
  <c r="AA68" i="29"/>
  <c r="AA68" i="34"/>
  <c r="AA68" i="36"/>
  <c r="AA74" i="36" s="1"/>
  <c r="AA68" i="37"/>
  <c r="AA74" i="37" s="1"/>
  <c r="AA68" i="38"/>
  <c r="AA74" i="38" s="1"/>
  <c r="AA68" i="39"/>
  <c r="AA74" i="39" s="1"/>
  <c r="W74" i="20"/>
  <c r="W70" i="20" s="1"/>
  <c r="W68" i="24"/>
  <c r="W74" i="24" s="1"/>
  <c r="W70" i="24"/>
  <c r="W74" i="27"/>
  <c r="W70" i="27" s="1"/>
  <c r="W68" i="30"/>
  <c r="W74" i="30"/>
  <c r="W70" i="30" s="1"/>
  <c r="W74" i="31"/>
  <c r="W70" i="31" s="1"/>
  <c r="W70" i="34"/>
  <c r="W68" i="36"/>
  <c r="W74" i="36" s="1"/>
  <c r="W70" i="36" s="1"/>
  <c r="W68" i="37"/>
  <c r="W74" i="37" s="1"/>
  <c r="W70" i="37"/>
  <c r="W74" i="38"/>
  <c r="W70" i="38"/>
  <c r="R61" i="46"/>
  <c r="V61" i="47"/>
  <c r="V61" i="48" s="1"/>
  <c r="R57" i="46"/>
  <c r="V57" i="47"/>
  <c r="V57" i="48" s="1"/>
  <c r="R53" i="46"/>
  <c r="V53" i="47"/>
  <c r="V53" i="48" s="1"/>
  <c r="V53" i="49" s="1"/>
  <c r="R19" i="46"/>
  <c r="V19" i="47"/>
  <c r="V19" i="48" s="1"/>
  <c r="R62" i="46"/>
  <c r="V62" i="47"/>
  <c r="V62" i="48" s="1"/>
  <c r="R30" i="46"/>
  <c r="V30" i="47"/>
  <c r="V30" i="48" s="1"/>
  <c r="V30" i="49" s="1"/>
  <c r="V30" i="50" s="1"/>
  <c r="W68" i="12"/>
  <c r="W74" i="12" s="1"/>
  <c r="W70" i="12"/>
  <c r="W68" i="13"/>
  <c r="W74" i="13"/>
  <c r="W70" i="13" s="1"/>
  <c r="W68" i="14"/>
  <c r="W74" i="14"/>
  <c r="W70" i="14" s="1"/>
  <c r="W68" i="15"/>
  <c r="W74" i="15"/>
  <c r="W70" i="15" s="1"/>
  <c r="W68" i="18"/>
  <c r="W74" i="18" s="1"/>
  <c r="W70" i="18" s="1"/>
  <c r="W68" i="28"/>
  <c r="W74" i="28"/>
  <c r="W70" i="28" s="1"/>
  <c r="W68" i="29"/>
  <c r="W74" i="29" s="1"/>
  <c r="W70" i="29" s="1"/>
  <c r="W68" i="17"/>
  <c r="W74" i="17"/>
  <c r="W70" i="17"/>
  <c r="R31" i="46"/>
  <c r="V31" i="47"/>
  <c r="R23" i="46"/>
  <c r="V23" i="47"/>
  <c r="R23" i="47" s="1"/>
  <c r="V23" i="48"/>
  <c r="V23" i="49" s="1"/>
  <c r="R52" i="46"/>
  <c r="V52" i="47"/>
  <c r="V44" i="47"/>
  <c r="R40" i="46"/>
  <c r="V40" i="47"/>
  <c r="V40" i="48" s="1"/>
  <c r="V40" i="49" s="1"/>
  <c r="V40" i="50" s="1"/>
  <c r="R24" i="46"/>
  <c r="V24" i="47"/>
  <c r="R20" i="46"/>
  <c r="V20" i="47"/>
  <c r="R13" i="46"/>
  <c r="V13" i="47"/>
  <c r="W68" i="8"/>
  <c r="W68" i="10"/>
  <c r="W74" i="10" s="1"/>
  <c r="W70" i="10" s="1"/>
  <c r="AA79" i="4"/>
  <c r="AA80" i="5"/>
  <c r="AB12" i="39"/>
  <c r="AB13" i="39"/>
  <c r="AB14" i="39"/>
  <c r="AB15" i="39"/>
  <c r="AB16" i="39"/>
  <c r="AB17" i="39"/>
  <c r="AB18" i="39"/>
  <c r="AB19" i="39"/>
  <c r="AB20" i="39"/>
  <c r="AB21" i="39"/>
  <c r="AB22" i="39"/>
  <c r="AB23" i="39"/>
  <c r="AB24" i="39"/>
  <c r="AB25" i="39"/>
  <c r="AB26" i="39"/>
  <c r="AB27" i="39"/>
  <c r="AB28" i="39"/>
  <c r="AB29" i="39"/>
  <c r="AB30" i="39"/>
  <c r="AB31" i="39"/>
  <c r="AB32" i="39"/>
  <c r="AB33" i="39"/>
  <c r="AB34" i="39"/>
  <c r="AB35" i="39"/>
  <c r="AB36" i="39"/>
  <c r="AB37" i="39"/>
  <c r="AB38" i="39"/>
  <c r="AB39" i="39"/>
  <c r="AB40" i="39"/>
  <c r="AB41" i="39"/>
  <c r="AB42" i="39"/>
  <c r="AB43" i="39"/>
  <c r="AB44" i="39"/>
  <c r="AB49" i="39"/>
  <c r="AB50" i="39"/>
  <c r="AB51" i="39"/>
  <c r="AB52" i="39"/>
  <c r="AB53" i="39"/>
  <c r="AB54" i="39"/>
  <c r="AB55" i="39"/>
  <c r="AB56" i="39"/>
  <c r="AB57" i="39"/>
  <c r="AB58" i="39"/>
  <c r="AB59" i="39"/>
  <c r="AB60" i="39"/>
  <c r="AB61" i="39"/>
  <c r="AB62" i="39"/>
  <c r="AB63" i="39"/>
  <c r="AB64" i="39"/>
  <c r="AB66" i="39"/>
  <c r="AB67" i="39"/>
  <c r="AB13" i="38"/>
  <c r="AB14" i="38"/>
  <c r="AB15" i="38"/>
  <c r="AB16" i="38"/>
  <c r="AB17" i="38"/>
  <c r="AB18" i="38"/>
  <c r="AB19" i="38"/>
  <c r="AB20" i="38"/>
  <c r="AB21" i="38"/>
  <c r="AB22" i="38"/>
  <c r="AB23" i="38"/>
  <c r="AB24" i="38"/>
  <c r="AB25" i="38"/>
  <c r="AB26" i="38"/>
  <c r="AB27" i="38"/>
  <c r="AB28" i="38"/>
  <c r="AB29" i="38"/>
  <c r="AB30" i="38"/>
  <c r="AB31" i="38"/>
  <c r="AB32" i="38"/>
  <c r="AB33" i="38"/>
  <c r="AB34" i="38"/>
  <c r="AB35" i="38"/>
  <c r="AB36" i="38"/>
  <c r="AB37" i="38"/>
  <c r="AB38" i="38"/>
  <c r="AB39" i="38"/>
  <c r="AB40" i="38"/>
  <c r="AB41" i="38"/>
  <c r="AB42" i="38"/>
  <c r="AB43" i="38"/>
  <c r="AB44" i="38"/>
  <c r="AB49" i="38"/>
  <c r="AB50" i="38"/>
  <c r="AB51" i="38"/>
  <c r="AB52" i="38"/>
  <c r="AB53" i="38"/>
  <c r="AB54" i="38"/>
  <c r="AB55" i="38"/>
  <c r="AB56" i="38"/>
  <c r="AB57" i="38"/>
  <c r="AB58" i="38"/>
  <c r="AB59" i="38"/>
  <c r="AB60" i="38"/>
  <c r="AB61" i="38"/>
  <c r="AB62" i="38"/>
  <c r="AB63" i="38"/>
  <c r="AB64" i="38"/>
  <c r="AB66" i="38"/>
  <c r="AB67" i="38"/>
  <c r="AB13" i="37"/>
  <c r="AB14" i="37"/>
  <c r="AB15" i="37"/>
  <c r="AB16" i="37"/>
  <c r="AB17" i="37"/>
  <c r="AB18" i="37"/>
  <c r="AB19" i="37"/>
  <c r="AB20" i="37"/>
  <c r="AB21" i="37"/>
  <c r="AB22" i="37"/>
  <c r="AB23" i="37"/>
  <c r="AB24" i="37"/>
  <c r="AB25" i="37"/>
  <c r="AB26" i="37"/>
  <c r="AB27" i="37"/>
  <c r="AB28" i="37"/>
  <c r="AB29" i="37"/>
  <c r="AB30" i="37"/>
  <c r="AB31" i="37"/>
  <c r="AB32" i="37"/>
  <c r="AB33" i="37"/>
  <c r="AB34" i="37"/>
  <c r="AB35" i="37"/>
  <c r="AB36" i="37"/>
  <c r="AB37" i="37"/>
  <c r="AB38" i="37"/>
  <c r="AB39" i="37"/>
  <c r="AB40" i="37"/>
  <c r="AB41" i="37"/>
  <c r="AB42" i="37"/>
  <c r="AB43" i="37"/>
  <c r="AB44" i="37"/>
  <c r="AB49" i="37"/>
  <c r="AB50" i="37"/>
  <c r="AB51" i="37"/>
  <c r="AB52" i="37"/>
  <c r="AB53" i="37"/>
  <c r="AB54" i="37"/>
  <c r="AB55" i="37"/>
  <c r="AB56" i="37"/>
  <c r="AB57" i="37"/>
  <c r="AB58" i="37"/>
  <c r="AB59" i="37"/>
  <c r="AB60" i="37"/>
  <c r="AB61" i="37"/>
  <c r="AB62" i="37"/>
  <c r="AB63" i="37"/>
  <c r="AB64" i="37"/>
  <c r="AB66" i="37"/>
  <c r="AB67" i="37"/>
  <c r="AB13" i="36"/>
  <c r="AB14" i="36"/>
  <c r="AB15" i="36"/>
  <c r="AB16" i="36"/>
  <c r="AB17" i="36"/>
  <c r="AB18" i="36"/>
  <c r="AB20" i="36"/>
  <c r="AB21" i="36"/>
  <c r="AB22" i="36"/>
  <c r="AB23" i="36"/>
  <c r="AB24" i="36"/>
  <c r="AB25" i="36"/>
  <c r="AB26" i="36"/>
  <c r="AB28" i="36"/>
  <c r="AB29" i="36"/>
  <c r="AB30" i="36"/>
  <c r="AB31" i="36"/>
  <c r="AB32" i="36"/>
  <c r="AB33" i="36"/>
  <c r="AB34" i="36"/>
  <c r="AB36" i="36"/>
  <c r="AB37" i="36"/>
  <c r="AB38" i="36"/>
  <c r="AB39" i="36"/>
  <c r="AB40" i="36"/>
  <c r="AB41" i="36"/>
  <c r="AB42" i="36"/>
  <c r="AB44" i="36"/>
  <c r="AB49" i="36"/>
  <c r="AB50" i="36"/>
  <c r="AB51" i="36"/>
  <c r="AB52" i="36"/>
  <c r="AB53" i="36"/>
  <c r="AB54" i="36"/>
  <c r="AB55" i="36"/>
  <c r="AB56" i="36"/>
  <c r="AB57" i="36"/>
  <c r="AB58" i="36"/>
  <c r="AB59" i="36"/>
  <c r="AB60" i="36"/>
  <c r="AB61" i="36"/>
  <c r="AB62" i="36"/>
  <c r="AB63" i="36"/>
  <c r="AB64" i="36"/>
  <c r="AB66" i="36"/>
  <c r="AB67" i="36"/>
  <c r="AB12" i="35"/>
  <c r="AB13" i="35"/>
  <c r="AB14" i="35"/>
  <c r="AB15" i="35"/>
  <c r="AB16" i="35"/>
  <c r="AB17" i="35"/>
  <c r="AB18" i="35"/>
  <c r="AB19" i="35"/>
  <c r="AB20" i="35"/>
  <c r="AB21" i="35"/>
  <c r="AB22" i="35"/>
  <c r="AB23" i="35"/>
  <c r="AB24" i="35"/>
  <c r="AB25" i="35"/>
  <c r="AB26" i="35"/>
  <c r="AB27" i="35"/>
  <c r="AB28" i="35"/>
  <c r="AB29" i="35"/>
  <c r="AB30" i="35"/>
  <c r="AB31" i="35"/>
  <c r="AB32" i="35"/>
  <c r="AB33" i="35"/>
  <c r="AB34" i="35"/>
  <c r="AB35" i="35"/>
  <c r="AB36" i="35"/>
  <c r="AB37" i="35"/>
  <c r="AB38" i="35"/>
  <c r="AB39" i="35"/>
  <c r="AB40" i="35"/>
  <c r="AB41" i="35"/>
  <c r="AB42" i="35"/>
  <c r="AB43" i="35"/>
  <c r="AB44" i="35"/>
  <c r="AB49" i="35"/>
  <c r="AB50" i="35"/>
  <c r="AB51" i="35"/>
  <c r="AB52" i="35"/>
  <c r="AB53" i="35"/>
  <c r="AB54" i="35"/>
  <c r="AB55" i="35"/>
  <c r="AB56" i="35"/>
  <c r="AB57" i="35"/>
  <c r="AB58" i="35"/>
  <c r="AB59" i="35"/>
  <c r="AB60" i="35"/>
  <c r="AB61" i="35"/>
  <c r="AB62" i="35"/>
  <c r="AB63" i="35"/>
  <c r="AB64" i="35"/>
  <c r="AB66" i="35"/>
  <c r="AB67" i="35"/>
  <c r="AB13" i="34"/>
  <c r="AB14" i="34"/>
  <c r="AB15" i="34"/>
  <c r="AB16" i="34"/>
  <c r="AB18" i="34"/>
  <c r="AB19" i="34"/>
  <c r="AB20" i="34"/>
  <c r="AB21" i="34"/>
  <c r="AB22" i="34"/>
  <c r="AB23" i="34"/>
  <c r="AB24" i="34"/>
  <c r="AB26" i="34"/>
  <c r="AB27" i="34"/>
  <c r="AB28" i="34"/>
  <c r="AB29" i="34"/>
  <c r="AB30" i="34"/>
  <c r="AB31" i="34"/>
  <c r="AB32" i="34"/>
  <c r="AB34" i="34"/>
  <c r="AB35" i="34"/>
  <c r="AB36" i="34"/>
  <c r="AB37" i="34"/>
  <c r="AB38" i="34"/>
  <c r="AB39" i="34"/>
  <c r="AB40" i="34"/>
  <c r="AB42" i="34"/>
  <c r="AB43" i="34"/>
  <c r="AB44" i="34"/>
  <c r="AB49" i="34"/>
  <c r="AB50" i="34"/>
  <c r="AB52" i="34"/>
  <c r="AB53" i="34"/>
  <c r="AB54" i="34"/>
  <c r="AB56" i="34"/>
  <c r="AB57" i="34"/>
  <c r="AB58" i="34"/>
  <c r="AB60" i="34"/>
  <c r="AB61" i="34"/>
  <c r="AB62" i="34"/>
  <c r="AB64" i="34"/>
  <c r="AB66" i="34"/>
  <c r="AB67" i="34"/>
  <c r="AB12" i="33"/>
  <c r="AB13" i="33"/>
  <c r="AB14" i="33"/>
  <c r="AB15" i="33"/>
  <c r="AB16" i="33"/>
  <c r="AB17" i="33"/>
  <c r="AB18" i="33"/>
  <c r="AB20" i="33"/>
  <c r="AB21" i="33"/>
  <c r="AB22" i="33"/>
  <c r="AB23" i="33"/>
  <c r="AB24" i="33"/>
  <c r="AB25" i="33"/>
  <c r="AB26" i="33"/>
  <c r="AB28" i="33"/>
  <c r="AB29" i="33"/>
  <c r="AB30" i="33"/>
  <c r="AB31" i="33"/>
  <c r="AB32" i="33"/>
  <c r="AB33" i="33"/>
  <c r="AB34" i="33"/>
  <c r="AB36" i="33"/>
  <c r="AB37" i="33"/>
  <c r="AB38" i="33"/>
  <c r="AB39" i="33"/>
  <c r="AB40" i="33"/>
  <c r="AB41" i="33"/>
  <c r="AB42" i="33"/>
  <c r="AB49" i="33"/>
  <c r="AB50" i="33"/>
  <c r="AB51" i="33"/>
  <c r="AB53" i="33"/>
  <c r="AB54" i="33"/>
  <c r="AB55" i="33"/>
  <c r="AB57" i="33"/>
  <c r="AB58" i="33"/>
  <c r="AB59" i="33"/>
  <c r="AB61" i="33"/>
  <c r="AB62" i="33"/>
  <c r="AB63" i="33"/>
  <c r="AB66" i="33"/>
  <c r="AB67" i="33"/>
  <c r="AB13" i="32"/>
  <c r="AB14" i="32"/>
  <c r="AB15" i="32"/>
  <c r="AB16" i="32"/>
  <c r="AB17" i="32"/>
  <c r="AB18" i="32"/>
  <c r="AB19" i="32"/>
  <c r="AB20" i="32"/>
  <c r="AB21" i="32"/>
  <c r="AB22" i="32"/>
  <c r="AB23" i="32"/>
  <c r="AB24" i="32"/>
  <c r="AB25" i="32"/>
  <c r="AB26" i="32"/>
  <c r="AB27" i="32"/>
  <c r="AB28" i="32"/>
  <c r="AB29" i="32"/>
  <c r="AB30" i="32"/>
  <c r="AB31" i="32"/>
  <c r="AB32" i="32"/>
  <c r="AB33" i="32"/>
  <c r="AB34" i="32"/>
  <c r="AB35" i="32"/>
  <c r="AB36" i="32"/>
  <c r="AB37" i="32"/>
  <c r="AB38" i="32"/>
  <c r="AB39" i="32"/>
  <c r="AB40" i="32"/>
  <c r="AB41" i="32"/>
  <c r="AB42" i="32"/>
  <c r="AB43" i="32"/>
  <c r="AB44" i="32"/>
  <c r="AB49" i="32"/>
  <c r="AB51" i="32"/>
  <c r="AB52" i="32"/>
  <c r="AB53" i="32"/>
  <c r="AB55" i="32"/>
  <c r="AB56" i="32"/>
  <c r="AB57" i="32"/>
  <c r="AB59" i="32"/>
  <c r="AB60" i="32"/>
  <c r="AB61" i="32"/>
  <c r="AB63" i="32"/>
  <c r="AB64" i="32"/>
  <c r="AB66" i="32"/>
  <c r="AB13" i="30"/>
  <c r="AB14" i="30"/>
  <c r="AB15" i="30"/>
  <c r="AB16" i="30"/>
  <c r="AB17" i="30"/>
  <c r="AB18" i="30"/>
  <c r="AB19" i="30"/>
  <c r="AB20" i="30"/>
  <c r="AB21" i="30"/>
  <c r="AB22" i="30"/>
  <c r="AB23" i="30"/>
  <c r="AB24" i="30"/>
  <c r="AB25" i="30"/>
  <c r="AB26" i="30"/>
  <c r="AB27" i="30"/>
  <c r="AB28" i="30"/>
  <c r="AB29" i="30"/>
  <c r="AB30" i="30"/>
  <c r="AB31" i="30"/>
  <c r="AB32" i="30"/>
  <c r="AB33" i="30"/>
  <c r="AB34" i="30"/>
  <c r="AB35" i="30"/>
  <c r="AB36" i="30"/>
  <c r="AB37" i="30"/>
  <c r="AB38" i="30"/>
  <c r="AB39" i="30"/>
  <c r="AB40" i="30"/>
  <c r="AB41" i="30"/>
  <c r="AB42" i="30"/>
  <c r="AB43" i="30"/>
  <c r="AB44" i="30"/>
  <c r="AB49" i="30"/>
  <c r="AB50" i="30"/>
  <c r="AB51" i="30"/>
  <c r="AB52" i="30"/>
  <c r="AB53" i="30"/>
  <c r="AB54" i="30"/>
  <c r="AB55" i="30"/>
  <c r="AB56" i="30"/>
  <c r="AB57" i="30"/>
  <c r="AB58" i="30"/>
  <c r="AB59" i="30"/>
  <c r="AB60" i="30"/>
  <c r="AB61" i="30"/>
  <c r="AB62" i="30"/>
  <c r="AB63" i="30"/>
  <c r="AB64" i="30"/>
  <c r="AB66" i="30"/>
  <c r="AB67" i="30"/>
  <c r="AB13" i="28"/>
  <c r="AB14" i="28"/>
  <c r="AB15" i="28"/>
  <c r="AB17" i="28"/>
  <c r="AB18" i="28"/>
  <c r="AB19" i="28"/>
  <c r="AB21" i="28"/>
  <c r="AB22" i="28"/>
  <c r="AB23" i="28"/>
  <c r="AB25" i="28"/>
  <c r="AB26" i="28"/>
  <c r="AB27" i="28"/>
  <c r="AB29" i="28"/>
  <c r="AB30" i="28"/>
  <c r="AB31" i="28"/>
  <c r="AB33" i="28"/>
  <c r="AB34" i="28"/>
  <c r="AB35" i="28"/>
  <c r="AB37" i="28"/>
  <c r="AB38" i="28"/>
  <c r="AB39" i="28"/>
  <c r="AB41" i="28"/>
  <c r="AB42" i="28"/>
  <c r="AB43" i="28"/>
  <c r="AB44" i="28"/>
  <c r="AB49" i="28"/>
  <c r="AB51" i="28"/>
  <c r="AB52" i="28"/>
  <c r="AB53" i="28"/>
  <c r="AB55" i="28"/>
  <c r="AB56" i="28"/>
  <c r="AB57" i="28"/>
  <c r="AB59" i="28"/>
  <c r="AB60" i="28"/>
  <c r="AB61" i="28"/>
  <c r="AB63" i="28"/>
  <c r="AB64" i="28"/>
  <c r="AB66" i="28"/>
  <c r="AB67" i="28"/>
  <c r="AB12" i="26"/>
  <c r="AB13" i="26"/>
  <c r="AB14" i="26"/>
  <c r="AB15" i="26"/>
  <c r="AB16" i="26"/>
  <c r="AB17" i="26"/>
  <c r="AB18" i="26"/>
  <c r="AB19" i="26"/>
  <c r="AB20" i="26"/>
  <c r="AB21" i="26"/>
  <c r="AB22" i="26"/>
  <c r="AB23" i="26"/>
  <c r="AB24" i="26"/>
  <c r="AB25" i="26"/>
  <c r="AB26" i="26"/>
  <c r="AB27" i="26"/>
  <c r="AB28" i="26"/>
  <c r="AB29" i="26"/>
  <c r="AB30" i="26"/>
  <c r="AB31" i="26"/>
  <c r="AB32" i="26"/>
  <c r="AB33" i="26"/>
  <c r="AB34" i="26"/>
  <c r="AB35" i="26"/>
  <c r="AB36" i="26"/>
  <c r="AB37" i="26"/>
  <c r="AB38" i="26"/>
  <c r="AB39" i="26"/>
  <c r="AB40" i="26"/>
  <c r="AB41" i="26"/>
  <c r="AB42" i="26"/>
  <c r="AB43" i="26"/>
  <c r="AB44" i="26"/>
  <c r="AB49" i="26"/>
  <c r="AB50" i="26"/>
  <c r="AB51" i="26"/>
  <c r="AB52" i="26"/>
  <c r="AB53" i="26"/>
  <c r="AB54" i="26"/>
  <c r="AB55" i="26"/>
  <c r="AB56" i="26"/>
  <c r="AB57" i="26"/>
  <c r="AB58" i="26"/>
  <c r="AB59" i="26"/>
  <c r="AB60" i="26"/>
  <c r="AB61" i="26"/>
  <c r="AB62" i="26"/>
  <c r="AB63" i="26"/>
  <c r="AB64" i="26"/>
  <c r="AB66" i="26"/>
  <c r="AB67" i="26"/>
  <c r="AB13" i="25"/>
  <c r="AB14" i="25"/>
  <c r="AB15" i="25"/>
  <c r="AB17" i="25"/>
  <c r="AB18" i="25"/>
  <c r="AB19" i="25"/>
  <c r="AB20" i="25"/>
  <c r="AB21" i="25"/>
  <c r="AB22" i="25"/>
  <c r="AB23" i="25"/>
  <c r="AB25" i="25"/>
  <c r="AB26" i="25"/>
  <c r="AB27" i="25"/>
  <c r="AB28" i="25"/>
  <c r="AB29" i="25"/>
  <c r="AB30" i="25"/>
  <c r="AB31" i="25"/>
  <c r="AB33" i="25"/>
  <c r="AB34" i="25"/>
  <c r="AB35" i="25"/>
  <c r="AB36" i="25"/>
  <c r="AB37" i="25"/>
  <c r="AB38" i="25"/>
  <c r="AB39" i="25"/>
  <c r="AB41" i="25"/>
  <c r="AB42" i="25"/>
  <c r="AB43" i="25"/>
  <c r="AB44" i="25"/>
  <c r="AB50" i="25"/>
  <c r="AB51" i="25"/>
  <c r="AB52" i="25"/>
  <c r="AB54" i="25"/>
  <c r="AB55" i="25"/>
  <c r="AB56" i="25"/>
  <c r="AB58" i="25"/>
  <c r="AB59" i="25"/>
  <c r="AB60" i="25"/>
  <c r="AB62" i="25"/>
  <c r="AB63" i="25"/>
  <c r="AB64" i="25"/>
  <c r="AB67" i="25"/>
  <c r="O82" i="22"/>
  <c r="AB14" i="22"/>
  <c r="AB15" i="22"/>
  <c r="AB16" i="22"/>
  <c r="AB19" i="22"/>
  <c r="AB20" i="22"/>
  <c r="AB21" i="22"/>
  <c r="AB22" i="22"/>
  <c r="AB23" i="22"/>
  <c r="AB24" i="22"/>
  <c r="AB27" i="22"/>
  <c r="AB28" i="22"/>
  <c r="AB30" i="22"/>
  <c r="AB31" i="22"/>
  <c r="AB32" i="22"/>
  <c r="AB35" i="22"/>
  <c r="AB36" i="22"/>
  <c r="AB38" i="22"/>
  <c r="AB39" i="22"/>
  <c r="AB40" i="22"/>
  <c r="AB43" i="22"/>
  <c r="AB50" i="22"/>
  <c r="AB51" i="22"/>
  <c r="AB53" i="22"/>
  <c r="AB54" i="22"/>
  <c r="AB55" i="22"/>
  <c r="AB58" i="22"/>
  <c r="AB59" i="22"/>
  <c r="AB61" i="22"/>
  <c r="AB62" i="22"/>
  <c r="AB63" i="22"/>
  <c r="AB67" i="22"/>
  <c r="AB12" i="21"/>
  <c r="AB15" i="21"/>
  <c r="AB16" i="21"/>
  <c r="AB17" i="21"/>
  <c r="AB18" i="21"/>
  <c r="AB19" i="21"/>
  <c r="AB20" i="21"/>
  <c r="AB23" i="21"/>
  <c r="AB24" i="21"/>
  <c r="AB25" i="21"/>
  <c r="AB26" i="21"/>
  <c r="AB27" i="21"/>
  <c r="AB28" i="21"/>
  <c r="AB31" i="21"/>
  <c r="AB32" i="21"/>
  <c r="AB33" i="21"/>
  <c r="AB34" i="21"/>
  <c r="AB35" i="21"/>
  <c r="AB36" i="21"/>
  <c r="AB39" i="21"/>
  <c r="AB40" i="21"/>
  <c r="AB41" i="21"/>
  <c r="AB43" i="21"/>
  <c r="AB49" i="21"/>
  <c r="AB50" i="21"/>
  <c r="AB53" i="21"/>
  <c r="AB54" i="21"/>
  <c r="AB55" i="21"/>
  <c r="AB57" i="21"/>
  <c r="AB58" i="21"/>
  <c r="AB61" i="21"/>
  <c r="AB62" i="21"/>
  <c r="AB63" i="21"/>
  <c r="AB66" i="21"/>
  <c r="AB67" i="21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9" i="20"/>
  <c r="AB50" i="20"/>
  <c r="AB51" i="20"/>
  <c r="AB52" i="20"/>
  <c r="AB53" i="20"/>
  <c r="AB54" i="20"/>
  <c r="AB55" i="20"/>
  <c r="AB56" i="20"/>
  <c r="AB57" i="20"/>
  <c r="AB58" i="20"/>
  <c r="AB59" i="20"/>
  <c r="AB60" i="20"/>
  <c r="AB61" i="20"/>
  <c r="AB62" i="20"/>
  <c r="AB63" i="20"/>
  <c r="AB64" i="20"/>
  <c r="AB66" i="20"/>
  <c r="AB67" i="20"/>
  <c r="AB13" i="19"/>
  <c r="AB14" i="19"/>
  <c r="AB15" i="19"/>
  <c r="AB16" i="19"/>
  <c r="AB17" i="19"/>
  <c r="AB18" i="19"/>
  <c r="AB19" i="19"/>
  <c r="AB20" i="19"/>
  <c r="AB21" i="19"/>
  <c r="AB22" i="19"/>
  <c r="AB23" i="19"/>
  <c r="AB24" i="19"/>
  <c r="AB25" i="19"/>
  <c r="AB26" i="19"/>
  <c r="AB27" i="19"/>
  <c r="AB28" i="19"/>
  <c r="AB29" i="19"/>
  <c r="AB30" i="19"/>
  <c r="AB31" i="19"/>
  <c r="AB32" i="19"/>
  <c r="AB33" i="19"/>
  <c r="AB34" i="19"/>
  <c r="AB35" i="19"/>
  <c r="AB36" i="19"/>
  <c r="AB37" i="19"/>
  <c r="AB38" i="19"/>
  <c r="AB39" i="19"/>
  <c r="AB40" i="19"/>
  <c r="AB41" i="19"/>
  <c r="AB42" i="19"/>
  <c r="AB43" i="19"/>
  <c r="AB44" i="19"/>
  <c r="AB49" i="19"/>
  <c r="AB50" i="19"/>
  <c r="AB51" i="19"/>
  <c r="AB52" i="19"/>
  <c r="AB53" i="19"/>
  <c r="AB54" i="19"/>
  <c r="AB55" i="19"/>
  <c r="AB56" i="19"/>
  <c r="AB57" i="19"/>
  <c r="AB58" i="19"/>
  <c r="AB59" i="19"/>
  <c r="AB60" i="19"/>
  <c r="AB61" i="19"/>
  <c r="AB62" i="19"/>
  <c r="AB63" i="19"/>
  <c r="AB64" i="19"/>
  <c r="AB66" i="19"/>
  <c r="AB67" i="19"/>
  <c r="AB13" i="18"/>
  <c r="AB14" i="18"/>
  <c r="AB15" i="18"/>
  <c r="AB16" i="18"/>
  <c r="AB17" i="18"/>
  <c r="AB18" i="18"/>
  <c r="AB19" i="18"/>
  <c r="AB20" i="18"/>
  <c r="AB21" i="18"/>
  <c r="AB22" i="18"/>
  <c r="AB23" i="18"/>
  <c r="AB24" i="18"/>
  <c r="AB25" i="18"/>
  <c r="AB26" i="18"/>
  <c r="AB27" i="18"/>
  <c r="AB28" i="18"/>
  <c r="AB29" i="18"/>
  <c r="AB30" i="18"/>
  <c r="AB31" i="18"/>
  <c r="AB32" i="18"/>
  <c r="AB33" i="18"/>
  <c r="AB34" i="18"/>
  <c r="AB35" i="18"/>
  <c r="AB36" i="18"/>
  <c r="AB37" i="18"/>
  <c r="AB38" i="18"/>
  <c r="AB39" i="18"/>
  <c r="AB40" i="18"/>
  <c r="AB41" i="18"/>
  <c r="AB42" i="18"/>
  <c r="AB43" i="18"/>
  <c r="AB44" i="18"/>
  <c r="AB49" i="18"/>
  <c r="AB50" i="18"/>
  <c r="AB51" i="18"/>
  <c r="AB52" i="18"/>
  <c r="AB53" i="18"/>
  <c r="AB54" i="18"/>
  <c r="AB55" i="18"/>
  <c r="AB56" i="18"/>
  <c r="AB57" i="18"/>
  <c r="AB58" i="18"/>
  <c r="AB59" i="18"/>
  <c r="AB60" i="18"/>
  <c r="AB61" i="18"/>
  <c r="AB62" i="18"/>
  <c r="AB63" i="18"/>
  <c r="AB64" i="18"/>
  <c r="AB66" i="18"/>
  <c r="AB67" i="18"/>
  <c r="E82" i="15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B30" i="16"/>
  <c r="AB31" i="16"/>
  <c r="AB32" i="16"/>
  <c r="AB33" i="16"/>
  <c r="AB34" i="16"/>
  <c r="AB35" i="16"/>
  <c r="AB36" i="16"/>
  <c r="AB37" i="16"/>
  <c r="AB38" i="16"/>
  <c r="AB39" i="16"/>
  <c r="AB40" i="16"/>
  <c r="AB41" i="16"/>
  <c r="AB42" i="16"/>
  <c r="AB43" i="16"/>
  <c r="AB44" i="16"/>
  <c r="AB49" i="16"/>
  <c r="AB50" i="16"/>
  <c r="AB51" i="16"/>
  <c r="AB52" i="16"/>
  <c r="AB53" i="16"/>
  <c r="AB54" i="16"/>
  <c r="AB55" i="16"/>
  <c r="AB56" i="16"/>
  <c r="AB57" i="16"/>
  <c r="AB58" i="16"/>
  <c r="AB59" i="16"/>
  <c r="AB60" i="16"/>
  <c r="AB61" i="16"/>
  <c r="AB62" i="16"/>
  <c r="AB63" i="16"/>
  <c r="AB64" i="16"/>
  <c r="AB66" i="16"/>
  <c r="AB67" i="16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30" i="15"/>
  <c r="AB31" i="15"/>
  <c r="AB32" i="15"/>
  <c r="AB33" i="15"/>
  <c r="AB34" i="15"/>
  <c r="AB35" i="15"/>
  <c r="AB36" i="15"/>
  <c r="AB37" i="15"/>
  <c r="AB38" i="15"/>
  <c r="AB39" i="15"/>
  <c r="AB40" i="15"/>
  <c r="AB41" i="15"/>
  <c r="AB42" i="15"/>
  <c r="AB43" i="15"/>
  <c r="AB44" i="15"/>
  <c r="AB49" i="15"/>
  <c r="AB50" i="15"/>
  <c r="AB51" i="15"/>
  <c r="AB52" i="15"/>
  <c r="AB53" i="15"/>
  <c r="AB54" i="15"/>
  <c r="AB55" i="15"/>
  <c r="AB56" i="15"/>
  <c r="AB57" i="15"/>
  <c r="AB58" i="15"/>
  <c r="AB59" i="15"/>
  <c r="AB60" i="15"/>
  <c r="AB61" i="15"/>
  <c r="AB62" i="15"/>
  <c r="AB63" i="15"/>
  <c r="AB64" i="15"/>
  <c r="AB66" i="15"/>
  <c r="AB67" i="15"/>
  <c r="AB13" i="14"/>
  <c r="AB14" i="14"/>
  <c r="AB15" i="14"/>
  <c r="AB16" i="14"/>
  <c r="AB17" i="14"/>
  <c r="AB18" i="14"/>
  <c r="AB19" i="14"/>
  <c r="AB20" i="14"/>
  <c r="AB21" i="14"/>
  <c r="AB22" i="14"/>
  <c r="AB23" i="14"/>
  <c r="AB24" i="14"/>
  <c r="AB25" i="14"/>
  <c r="AB26" i="14"/>
  <c r="AB27" i="14"/>
  <c r="AB28" i="14"/>
  <c r="AB29" i="14"/>
  <c r="AB30" i="14"/>
  <c r="AB31" i="14"/>
  <c r="AB32" i="14"/>
  <c r="AB33" i="14"/>
  <c r="AB34" i="14"/>
  <c r="AB35" i="14"/>
  <c r="AB36" i="14"/>
  <c r="AB37" i="14"/>
  <c r="AB38" i="14"/>
  <c r="AB39" i="14"/>
  <c r="AB40" i="14"/>
  <c r="AB41" i="14"/>
  <c r="AB42" i="14"/>
  <c r="AB43" i="14"/>
  <c r="AB44" i="14"/>
  <c r="AB49" i="14"/>
  <c r="AB50" i="14"/>
  <c r="AB51" i="14"/>
  <c r="AB52" i="14"/>
  <c r="AB53" i="14"/>
  <c r="AB54" i="14"/>
  <c r="AB55" i="14"/>
  <c r="AB56" i="14"/>
  <c r="AB57" i="14"/>
  <c r="AB58" i="14"/>
  <c r="AB59" i="14"/>
  <c r="AB60" i="14"/>
  <c r="AB61" i="14"/>
  <c r="AB62" i="14"/>
  <c r="AB63" i="14"/>
  <c r="AB64" i="14"/>
  <c r="AB66" i="14"/>
  <c r="AB67" i="14"/>
  <c r="AB13" i="13"/>
  <c r="AB14" i="13"/>
  <c r="AB15" i="13"/>
  <c r="AB16" i="13"/>
  <c r="AB17" i="13"/>
  <c r="AB18" i="13"/>
  <c r="AB19" i="13"/>
  <c r="AB20" i="13"/>
  <c r="AB21" i="13"/>
  <c r="AB22" i="13"/>
  <c r="AB23" i="13"/>
  <c r="AB24" i="13"/>
  <c r="AB25" i="13"/>
  <c r="AB26" i="13"/>
  <c r="AB27" i="13"/>
  <c r="AB28" i="13"/>
  <c r="AB29" i="13"/>
  <c r="AB30" i="13"/>
  <c r="AB31" i="13"/>
  <c r="AB32" i="13"/>
  <c r="AB33" i="13"/>
  <c r="AB34" i="13"/>
  <c r="AB35" i="13"/>
  <c r="AB36" i="13"/>
  <c r="AB37" i="13"/>
  <c r="AB38" i="13"/>
  <c r="AB39" i="13"/>
  <c r="AB40" i="13"/>
  <c r="AB41" i="13"/>
  <c r="AB42" i="13"/>
  <c r="AB43" i="13"/>
  <c r="AB44" i="13"/>
  <c r="AB49" i="13"/>
  <c r="AB50" i="13"/>
  <c r="AB51" i="13"/>
  <c r="AB52" i="13"/>
  <c r="AB53" i="13"/>
  <c r="AB54" i="13"/>
  <c r="AB55" i="13"/>
  <c r="AB56" i="13"/>
  <c r="AB57" i="13"/>
  <c r="AB58" i="13"/>
  <c r="AB59" i="13"/>
  <c r="AB60" i="13"/>
  <c r="AB61" i="13"/>
  <c r="AB62" i="13"/>
  <c r="AB63" i="13"/>
  <c r="AB64" i="13"/>
  <c r="AB66" i="13"/>
  <c r="AB67" i="13"/>
  <c r="AB13" i="12"/>
  <c r="AB15" i="12"/>
  <c r="AB17" i="12"/>
  <c r="AB19" i="12"/>
  <c r="AB20" i="12"/>
  <c r="AB21" i="12"/>
  <c r="AB22" i="12"/>
  <c r="AB23" i="12"/>
  <c r="AB25" i="12"/>
  <c r="AB27" i="12"/>
  <c r="AB28" i="12"/>
  <c r="AB29" i="12"/>
  <c r="AB30" i="12"/>
  <c r="AB31" i="12"/>
  <c r="AB33" i="12"/>
  <c r="AB35" i="12"/>
  <c r="AB36" i="12"/>
  <c r="AB37" i="12"/>
  <c r="AB38" i="12"/>
  <c r="AB39" i="12"/>
  <c r="AB40" i="12"/>
  <c r="AB41" i="12"/>
  <c r="AB42" i="12"/>
  <c r="AB43" i="12"/>
  <c r="AB44" i="12"/>
  <c r="AB49" i="12"/>
  <c r="AB50" i="12"/>
  <c r="AB51" i="12"/>
  <c r="AB52" i="12"/>
  <c r="AB53" i="12"/>
  <c r="AB54" i="12"/>
  <c r="AB55" i="12"/>
  <c r="AB56" i="12"/>
  <c r="AB57" i="12"/>
  <c r="AB58" i="12"/>
  <c r="AB59" i="12"/>
  <c r="AB61" i="12"/>
  <c r="AB62" i="12"/>
  <c r="AB63" i="12"/>
  <c r="AB66" i="12"/>
  <c r="AB67" i="12"/>
  <c r="AB13" i="11"/>
  <c r="AB17" i="11"/>
  <c r="AB19" i="11"/>
  <c r="AB21" i="11"/>
  <c r="AB23" i="11"/>
  <c r="AB25" i="11"/>
  <c r="AB27" i="11"/>
  <c r="AB29" i="11"/>
  <c r="AB33" i="11"/>
  <c r="AB35" i="11"/>
  <c r="AB37" i="11"/>
  <c r="AB39" i="11"/>
  <c r="AB41" i="11"/>
  <c r="AB43" i="11"/>
  <c r="AB49" i="11"/>
  <c r="AB51" i="11"/>
  <c r="AB53" i="11"/>
  <c r="AB55" i="11"/>
  <c r="AB57" i="11"/>
  <c r="AB59" i="11"/>
  <c r="AB61" i="11"/>
  <c r="AB63" i="11"/>
  <c r="AB67" i="11"/>
  <c r="AB12" i="11"/>
  <c r="AB14" i="11"/>
  <c r="AB16" i="11"/>
  <c r="AB18" i="11"/>
  <c r="AB20" i="11"/>
  <c r="AB22" i="11"/>
  <c r="AB24" i="11"/>
  <c r="AB26" i="11"/>
  <c r="AB28" i="11"/>
  <c r="AB30" i="11"/>
  <c r="AB32" i="11"/>
  <c r="AB34" i="11"/>
  <c r="AB36" i="11"/>
  <c r="AB38" i="11"/>
  <c r="AB40" i="11"/>
  <c r="AB42" i="11"/>
  <c r="AB44" i="11"/>
  <c r="AB50" i="11"/>
  <c r="AB52" i="11"/>
  <c r="AB54" i="11"/>
  <c r="AB56" i="11"/>
  <c r="AB58" i="11"/>
  <c r="AB60" i="11"/>
  <c r="AB62" i="11"/>
  <c r="AB64" i="11"/>
  <c r="AB66" i="11"/>
  <c r="AB13" i="10"/>
  <c r="AB15" i="10"/>
  <c r="AB17" i="10"/>
  <c r="AB19" i="10"/>
  <c r="AB21" i="10"/>
  <c r="AB23" i="10"/>
  <c r="AB25" i="10"/>
  <c r="AB27" i="10"/>
  <c r="AB29" i="10"/>
  <c r="AB31" i="10"/>
  <c r="AB33" i="10"/>
  <c r="AB35" i="10"/>
  <c r="AB37" i="10"/>
  <c r="AB39" i="10"/>
  <c r="AB41" i="10"/>
  <c r="AB43" i="10"/>
  <c r="AB49" i="10"/>
  <c r="AB51" i="10"/>
  <c r="AB55" i="10"/>
  <c r="AB57" i="10"/>
  <c r="AB61" i="10"/>
  <c r="AB63" i="10"/>
  <c r="AB66" i="10"/>
  <c r="AB12" i="10"/>
  <c r="AB16" i="10"/>
  <c r="AB18" i="10"/>
  <c r="AB20" i="10"/>
  <c r="AB22" i="10"/>
  <c r="AB24" i="10"/>
  <c r="AB26" i="10"/>
  <c r="AB28" i="10"/>
  <c r="AB32" i="10"/>
  <c r="AB34" i="10"/>
  <c r="AB36" i="10"/>
  <c r="AB38" i="10"/>
  <c r="AB40" i="10"/>
  <c r="AB42" i="10"/>
  <c r="AB44" i="10"/>
  <c r="AB50" i="10"/>
  <c r="AB52" i="10"/>
  <c r="AB54" i="10"/>
  <c r="AB56" i="10"/>
  <c r="AB58" i="10"/>
  <c r="AB60" i="10"/>
  <c r="AB62" i="10"/>
  <c r="AB64" i="10"/>
  <c r="AB67" i="10"/>
  <c r="AB13" i="9"/>
  <c r="AB15" i="9"/>
  <c r="AB17" i="9"/>
  <c r="AB19" i="9"/>
  <c r="AB21" i="9"/>
  <c r="AB23" i="9"/>
  <c r="AB25" i="9"/>
  <c r="AB27" i="9"/>
  <c r="AB29" i="9"/>
  <c r="AB31" i="9"/>
  <c r="AB33" i="9"/>
  <c r="AB35" i="9"/>
  <c r="AB37" i="9"/>
  <c r="AB39" i="9"/>
  <c r="AB41" i="9"/>
  <c r="AB43" i="9"/>
  <c r="AB49" i="9"/>
  <c r="AB51" i="9"/>
  <c r="AB53" i="9"/>
  <c r="AB55" i="9"/>
  <c r="AB57" i="9"/>
  <c r="AB59" i="9"/>
  <c r="AB61" i="9"/>
  <c r="AB63" i="9"/>
  <c r="AB66" i="9"/>
  <c r="AB12" i="9"/>
  <c r="AB14" i="9"/>
  <c r="AB16" i="9"/>
  <c r="AB18" i="9"/>
  <c r="AB20" i="9"/>
  <c r="AB22" i="9"/>
  <c r="AB26" i="9"/>
  <c r="AB28" i="9"/>
  <c r="AB30" i="9"/>
  <c r="AB32" i="9"/>
  <c r="AB34" i="9"/>
  <c r="AB36" i="9"/>
  <c r="AB38" i="9"/>
  <c r="AB42" i="9"/>
  <c r="AB44" i="9"/>
  <c r="AB50" i="9"/>
  <c r="AB52" i="9"/>
  <c r="AB54" i="9"/>
  <c r="AB56" i="9"/>
  <c r="AB58" i="9"/>
  <c r="AB60" i="9"/>
  <c r="AB62" i="9"/>
  <c r="AB64" i="9"/>
  <c r="AB67" i="9"/>
  <c r="AB12" i="8"/>
  <c r="AB14" i="8"/>
  <c r="AB16" i="8"/>
  <c r="AB18" i="8"/>
  <c r="AB20" i="8"/>
  <c r="AB22" i="8"/>
  <c r="AB24" i="8"/>
  <c r="AB26" i="8"/>
  <c r="AB28" i="8"/>
  <c r="AB30" i="8"/>
  <c r="AB32" i="8"/>
  <c r="AB34" i="8"/>
  <c r="AB36" i="8"/>
  <c r="AB38" i="8"/>
  <c r="AB40" i="8"/>
  <c r="AB42" i="8"/>
  <c r="AB44" i="8"/>
  <c r="AB50" i="8"/>
  <c r="AB52" i="8"/>
  <c r="AB54" i="8"/>
  <c r="AB56" i="8"/>
  <c r="AB58" i="8"/>
  <c r="AB60" i="8"/>
  <c r="AB62" i="8"/>
  <c r="AB64" i="8"/>
  <c r="AB67" i="8"/>
  <c r="AB15" i="8"/>
  <c r="AB17" i="8"/>
  <c r="AB21" i="8"/>
  <c r="AB23" i="8"/>
  <c r="AB25" i="8"/>
  <c r="AB27" i="8"/>
  <c r="AB29" i="8"/>
  <c r="AB31" i="8"/>
  <c r="AB33" i="8"/>
  <c r="AB37" i="8"/>
  <c r="AB39" i="8"/>
  <c r="AB41" i="8"/>
  <c r="AB43" i="8"/>
  <c r="AB49" i="8"/>
  <c r="AB51" i="8"/>
  <c r="AB53" i="8"/>
  <c r="AB55" i="8"/>
  <c r="AB57" i="8"/>
  <c r="AB59" i="8"/>
  <c r="AB61" i="8"/>
  <c r="AB63" i="8"/>
  <c r="AB66" i="8"/>
  <c r="U67" i="8"/>
  <c r="I62" i="7"/>
  <c r="U64" i="30"/>
  <c r="I59" i="29"/>
  <c r="U62" i="30"/>
  <c r="U62" i="31" s="1"/>
  <c r="U62" i="32" s="1"/>
  <c r="U62" i="33" s="1"/>
  <c r="I57" i="29"/>
  <c r="U58" i="30"/>
  <c r="I53" i="29"/>
  <c r="U56" i="30"/>
  <c r="I51" i="29"/>
  <c r="U54" i="30"/>
  <c r="U54" i="31" s="1"/>
  <c r="I49" i="29"/>
  <c r="U50" i="30"/>
  <c r="I43" i="29"/>
  <c r="I41" i="29"/>
  <c r="U44" i="30"/>
  <c r="I39" i="29"/>
  <c r="U40" i="30"/>
  <c r="I35" i="29"/>
  <c r="I31" i="29"/>
  <c r="U34" i="30"/>
  <c r="I29" i="30" s="1"/>
  <c r="I29" i="29"/>
  <c r="U30" i="30"/>
  <c r="I25" i="29"/>
  <c r="U24" i="30"/>
  <c r="I19" i="30" s="1"/>
  <c r="I19" i="29"/>
  <c r="U22" i="30"/>
  <c r="I17" i="29"/>
  <c r="U20" i="30"/>
  <c r="I15" i="29"/>
  <c r="U14" i="30"/>
  <c r="I9" i="30" s="1"/>
  <c r="I9" i="29"/>
  <c r="U12" i="37"/>
  <c r="I7" i="36"/>
  <c r="U13" i="37"/>
  <c r="I8" i="36"/>
  <c r="U66" i="8"/>
  <c r="I61" i="7"/>
  <c r="U63" i="8"/>
  <c r="I58" i="7"/>
  <c r="U61" i="8"/>
  <c r="I56" i="7"/>
  <c r="U59" i="8"/>
  <c r="I54" i="7"/>
  <c r="U57" i="8"/>
  <c r="I52" i="7"/>
  <c r="U55" i="8"/>
  <c r="I50" i="7"/>
  <c r="U53" i="8"/>
  <c r="I48" i="7"/>
  <c r="U51" i="8"/>
  <c r="I46" i="8" s="1"/>
  <c r="U49" i="8"/>
  <c r="I44" i="7"/>
  <c r="I42" i="7"/>
  <c r="I40" i="7"/>
  <c r="U43" i="8"/>
  <c r="I38" i="7"/>
  <c r="U41" i="8"/>
  <c r="I36" i="7"/>
  <c r="U39" i="8"/>
  <c r="I34" i="7"/>
  <c r="U37" i="8"/>
  <c r="U37" i="9" s="1"/>
  <c r="I32" i="7"/>
  <c r="U35" i="8"/>
  <c r="I30" i="7"/>
  <c r="U33" i="8"/>
  <c r="I28" i="7"/>
  <c r="U31" i="8"/>
  <c r="I26" i="7"/>
  <c r="U29" i="8"/>
  <c r="U29" i="9" s="1"/>
  <c r="I24" i="7"/>
  <c r="U27" i="8"/>
  <c r="I22" i="7"/>
  <c r="U25" i="8"/>
  <c r="I20" i="7"/>
  <c r="U23" i="8"/>
  <c r="I18" i="7"/>
  <c r="U21" i="8"/>
  <c r="U21" i="9" s="1"/>
  <c r="I16" i="7"/>
  <c r="U19" i="8"/>
  <c r="I14" i="7"/>
  <c r="U17" i="8"/>
  <c r="I12" i="7"/>
  <c r="U15" i="8"/>
  <c r="I10" i="7"/>
  <c r="W74" i="32"/>
  <c r="W70" i="32" s="1"/>
  <c r="E82" i="28"/>
  <c r="AB13" i="29"/>
  <c r="AB14" i="29"/>
  <c r="AB15" i="29"/>
  <c r="AB16" i="29"/>
  <c r="AB17" i="29"/>
  <c r="AB18" i="29"/>
  <c r="AB19" i="29"/>
  <c r="AB20" i="29"/>
  <c r="AB21" i="29"/>
  <c r="AB22" i="29"/>
  <c r="AB23" i="29"/>
  <c r="AB24" i="29"/>
  <c r="AB25" i="29"/>
  <c r="AB26" i="29"/>
  <c r="AB27" i="29"/>
  <c r="AB28" i="29"/>
  <c r="AB29" i="29"/>
  <c r="AB30" i="29"/>
  <c r="AB31" i="29"/>
  <c r="AB32" i="29"/>
  <c r="AB33" i="29"/>
  <c r="AB34" i="29"/>
  <c r="AB35" i="29"/>
  <c r="AB36" i="29"/>
  <c r="AB37" i="29"/>
  <c r="AB38" i="29"/>
  <c r="AB39" i="29"/>
  <c r="AB40" i="29"/>
  <c r="AB41" i="29"/>
  <c r="AB42" i="29"/>
  <c r="AB43" i="29"/>
  <c r="AB44" i="29"/>
  <c r="AB49" i="29"/>
  <c r="AB50" i="29"/>
  <c r="AB51" i="29"/>
  <c r="AB52" i="29"/>
  <c r="AB53" i="29"/>
  <c r="AB54" i="29"/>
  <c r="AB55" i="29"/>
  <c r="AB56" i="29"/>
  <c r="AB57" i="29"/>
  <c r="AB58" i="29"/>
  <c r="AB59" i="29"/>
  <c r="AB60" i="29"/>
  <c r="AB61" i="29"/>
  <c r="AB62" i="29"/>
  <c r="AB63" i="29"/>
  <c r="AB64" i="29"/>
  <c r="AB66" i="29"/>
  <c r="AB67" i="29"/>
  <c r="W74" i="19"/>
  <c r="W70" i="19" s="1"/>
  <c r="AB13" i="17"/>
  <c r="AB14" i="17"/>
  <c r="AB15" i="17"/>
  <c r="AB16" i="17"/>
  <c r="AB18" i="17"/>
  <c r="AB19" i="17"/>
  <c r="AB20" i="17"/>
  <c r="AB21" i="17"/>
  <c r="AB22" i="17"/>
  <c r="AB23" i="17"/>
  <c r="AB24" i="17"/>
  <c r="AB26" i="17"/>
  <c r="AB27" i="17"/>
  <c r="AB28" i="17"/>
  <c r="AB29" i="17"/>
  <c r="AB30" i="17"/>
  <c r="AB31" i="17"/>
  <c r="AB32" i="17"/>
  <c r="AB34" i="17"/>
  <c r="AB35" i="17"/>
  <c r="AB36" i="17"/>
  <c r="AB37" i="17"/>
  <c r="AB38" i="17"/>
  <c r="AB39" i="17"/>
  <c r="AB40" i="17"/>
  <c r="AB42" i="17"/>
  <c r="AB43" i="17"/>
  <c r="AB44" i="17"/>
  <c r="AB49" i="17"/>
  <c r="AB51" i="17"/>
  <c r="AB52" i="17"/>
  <c r="AB53" i="17"/>
  <c r="AB54" i="17"/>
  <c r="AB55" i="17"/>
  <c r="AB56" i="17"/>
  <c r="AB57" i="17"/>
  <c r="AB59" i="17"/>
  <c r="AB60" i="17"/>
  <c r="AB61" i="17"/>
  <c r="AB62" i="17"/>
  <c r="AB63" i="17"/>
  <c r="AB64" i="17"/>
  <c r="AB66" i="17"/>
  <c r="O82" i="16"/>
  <c r="AB12" i="7"/>
  <c r="AB13" i="7"/>
  <c r="AB14" i="7"/>
  <c r="AB15" i="7"/>
  <c r="AB16" i="7"/>
  <c r="AB17" i="7"/>
  <c r="AB18" i="7"/>
  <c r="AB19" i="7"/>
  <c r="AB21" i="7"/>
  <c r="AB23" i="7"/>
  <c r="AB24" i="7"/>
  <c r="AB25" i="7"/>
  <c r="AB26" i="7"/>
  <c r="AB28" i="7"/>
  <c r="AB29" i="7"/>
  <c r="AB30" i="7"/>
  <c r="AB31" i="7"/>
  <c r="AB32" i="7"/>
  <c r="AB34" i="7"/>
  <c r="AB35" i="7"/>
  <c r="AB36" i="7"/>
  <c r="AB37" i="7"/>
  <c r="AB38" i="7"/>
  <c r="AB39" i="7"/>
  <c r="AB40" i="7"/>
  <c r="AB41" i="7"/>
  <c r="AB42" i="7"/>
  <c r="AB43" i="7"/>
  <c r="AB44" i="7"/>
  <c r="AB49" i="7"/>
  <c r="AB50" i="7"/>
  <c r="AB51" i="7"/>
  <c r="AB52" i="7"/>
  <c r="AB53" i="7"/>
  <c r="AB54" i="7"/>
  <c r="AB55" i="7"/>
  <c r="AB56" i="7"/>
  <c r="AB57" i="7"/>
  <c r="AB58" i="7"/>
  <c r="AB59" i="7"/>
  <c r="AB60" i="7"/>
  <c r="AB61" i="7"/>
  <c r="AB62" i="7"/>
  <c r="AB63" i="7"/>
  <c r="AB66" i="7"/>
  <c r="AB67" i="7"/>
  <c r="W74" i="5"/>
  <c r="W70" i="5" s="1"/>
  <c r="H42" i="26"/>
  <c r="H40" i="26"/>
  <c r="H43" i="26"/>
  <c r="H41" i="26"/>
  <c r="R61" i="47"/>
  <c r="R57" i="47"/>
  <c r="R53" i="47"/>
  <c r="R19" i="47"/>
  <c r="W74" i="57"/>
  <c r="W70" i="57"/>
  <c r="W74" i="56"/>
  <c r="W70" i="56" s="1"/>
  <c r="W74" i="55"/>
  <c r="W70" i="55"/>
  <c r="W74" i="54"/>
  <c r="W70" i="54" s="1"/>
  <c r="W74" i="53"/>
  <c r="W70" i="53"/>
  <c r="W74" i="52"/>
  <c r="W70" i="52" s="1"/>
  <c r="W74" i="51"/>
  <c r="W70" i="51"/>
  <c r="W74" i="50"/>
  <c r="W70" i="50" s="1"/>
  <c r="AB13" i="40"/>
  <c r="AB14" i="40"/>
  <c r="AB15" i="40"/>
  <c r="AB16" i="40"/>
  <c r="AB17" i="40"/>
  <c r="AB18" i="40"/>
  <c r="AB19" i="40"/>
  <c r="AB20" i="40"/>
  <c r="AB21" i="40"/>
  <c r="AB22" i="40"/>
  <c r="AB23" i="40"/>
  <c r="AB24" i="40"/>
  <c r="AB25" i="40"/>
  <c r="AB26" i="40"/>
  <c r="AB27" i="40"/>
  <c r="AB28" i="40"/>
  <c r="AB29" i="40"/>
  <c r="AB30" i="40"/>
  <c r="AB31" i="40"/>
  <c r="AB32" i="40"/>
  <c r="AB33" i="40"/>
  <c r="AB34" i="40"/>
  <c r="AB35" i="40"/>
  <c r="AB36" i="40"/>
  <c r="AB37" i="40"/>
  <c r="AB38" i="40"/>
  <c r="AB39" i="40"/>
  <c r="AB40" i="40"/>
  <c r="AB41" i="40"/>
  <c r="AB42" i="40"/>
  <c r="AB43" i="40"/>
  <c r="AB44" i="40"/>
  <c r="AB49" i="40"/>
  <c r="AB50" i="40"/>
  <c r="AB51" i="40"/>
  <c r="AB52" i="40"/>
  <c r="AB53" i="40"/>
  <c r="AB54" i="40"/>
  <c r="AB55" i="40"/>
  <c r="AB56" i="40"/>
  <c r="AB57" i="40"/>
  <c r="AB58" i="40"/>
  <c r="AB59" i="40"/>
  <c r="AB60" i="40"/>
  <c r="AB61" i="40"/>
  <c r="AB62" i="40"/>
  <c r="AB63" i="40"/>
  <c r="AB64" i="40"/>
  <c r="AB66" i="40"/>
  <c r="AB67" i="40"/>
  <c r="AB13" i="31"/>
  <c r="AB14" i="31"/>
  <c r="AB15" i="31"/>
  <c r="AB16" i="31"/>
  <c r="AB17" i="31"/>
  <c r="AB18" i="31"/>
  <c r="AB19" i="31"/>
  <c r="AB20" i="31"/>
  <c r="AB21" i="31"/>
  <c r="AB22" i="31"/>
  <c r="AB23" i="31"/>
  <c r="AB24" i="31"/>
  <c r="AB25" i="31"/>
  <c r="AB26" i="31"/>
  <c r="AB27" i="31"/>
  <c r="AB28" i="31"/>
  <c r="AB29" i="31"/>
  <c r="AB30" i="31"/>
  <c r="AB31" i="31"/>
  <c r="AB32" i="31"/>
  <c r="AB33" i="31"/>
  <c r="AB34" i="31"/>
  <c r="AB35" i="31"/>
  <c r="AB36" i="31"/>
  <c r="AB37" i="31"/>
  <c r="AB38" i="31"/>
  <c r="AB39" i="31"/>
  <c r="AB40" i="31"/>
  <c r="AB41" i="31"/>
  <c r="AB42" i="31"/>
  <c r="AB43" i="31"/>
  <c r="AB44" i="31"/>
  <c r="AB49" i="31"/>
  <c r="AB50" i="31"/>
  <c r="AB51" i="31"/>
  <c r="AB52" i="31"/>
  <c r="AB53" i="31"/>
  <c r="AB54" i="31"/>
  <c r="AB55" i="31"/>
  <c r="AB56" i="31"/>
  <c r="AB57" i="31"/>
  <c r="AB58" i="31"/>
  <c r="AB59" i="31"/>
  <c r="AB60" i="31"/>
  <c r="AB61" i="31"/>
  <c r="AB62" i="31"/>
  <c r="AB63" i="31"/>
  <c r="AB64" i="31"/>
  <c r="AB66" i="31"/>
  <c r="AB67" i="31"/>
  <c r="AB13" i="27"/>
  <c r="AB14" i="27"/>
  <c r="AB15" i="27"/>
  <c r="AB16" i="27"/>
  <c r="AB17" i="27"/>
  <c r="AB18" i="27"/>
  <c r="AB19" i="27"/>
  <c r="AB20" i="27"/>
  <c r="AB21" i="27"/>
  <c r="AB22" i="27"/>
  <c r="AB23" i="27"/>
  <c r="AB24" i="27"/>
  <c r="AB25" i="27"/>
  <c r="AB26" i="27"/>
  <c r="AB27" i="27"/>
  <c r="AB28" i="27"/>
  <c r="AB29" i="27"/>
  <c r="AB30" i="27"/>
  <c r="AB31" i="27"/>
  <c r="AB32" i="27"/>
  <c r="AB33" i="27"/>
  <c r="AB34" i="27"/>
  <c r="AB35" i="27"/>
  <c r="AB36" i="27"/>
  <c r="AB37" i="27"/>
  <c r="AB38" i="27"/>
  <c r="AB39" i="27"/>
  <c r="AB40" i="27"/>
  <c r="AB41" i="27"/>
  <c r="AB42" i="27"/>
  <c r="AB43" i="27"/>
  <c r="AB44" i="27"/>
  <c r="AB49" i="27"/>
  <c r="AB50" i="27"/>
  <c r="AB51" i="27"/>
  <c r="AB52" i="27"/>
  <c r="AB53" i="27"/>
  <c r="AB54" i="27"/>
  <c r="AB55" i="27"/>
  <c r="AB56" i="27"/>
  <c r="AB57" i="27"/>
  <c r="AB58" i="27"/>
  <c r="AB59" i="27"/>
  <c r="AB60" i="27"/>
  <c r="AB61" i="27"/>
  <c r="AB62" i="27"/>
  <c r="AB63" i="27"/>
  <c r="AB64" i="27"/>
  <c r="AB66" i="27"/>
  <c r="AB67" i="27"/>
  <c r="AB13" i="24"/>
  <c r="AB14" i="24"/>
  <c r="AB15" i="24"/>
  <c r="AB16" i="24"/>
  <c r="AB17" i="24"/>
  <c r="AB18" i="24"/>
  <c r="AB19" i="24"/>
  <c r="AB20" i="24"/>
  <c r="AB21" i="24"/>
  <c r="AB22" i="24"/>
  <c r="AB23" i="24"/>
  <c r="AB24" i="24"/>
  <c r="AB25" i="24"/>
  <c r="AB26" i="24"/>
  <c r="AB27" i="24"/>
  <c r="AB28" i="24"/>
  <c r="AB29" i="24"/>
  <c r="AB30" i="24"/>
  <c r="AB31" i="24"/>
  <c r="AB32" i="24"/>
  <c r="AB33" i="24"/>
  <c r="AB34" i="24"/>
  <c r="AB35" i="24"/>
  <c r="AB36" i="24"/>
  <c r="AB37" i="24"/>
  <c r="AB38" i="24"/>
  <c r="AB39" i="24"/>
  <c r="AB40" i="24"/>
  <c r="AB41" i="24"/>
  <c r="AB42" i="24"/>
  <c r="AB43" i="24"/>
  <c r="AB44" i="24"/>
  <c r="AB49" i="24"/>
  <c r="AB50" i="24"/>
  <c r="AB51" i="24"/>
  <c r="AB52" i="24"/>
  <c r="AB53" i="24"/>
  <c r="AB54" i="24"/>
  <c r="AB55" i="24"/>
  <c r="AB56" i="24"/>
  <c r="AB57" i="24"/>
  <c r="AB58" i="24"/>
  <c r="AB59" i="24"/>
  <c r="AB60" i="24"/>
  <c r="AB61" i="24"/>
  <c r="AB62" i="24"/>
  <c r="AB63" i="24"/>
  <c r="AB64" i="24"/>
  <c r="AB66" i="24"/>
  <c r="AB67" i="24"/>
  <c r="W74" i="49"/>
  <c r="W70" i="49" s="1"/>
  <c r="W74" i="48"/>
  <c r="W70" i="48" s="1"/>
  <c r="AB36" i="46"/>
  <c r="AB12" i="46"/>
  <c r="AB12" i="40"/>
  <c r="AB12" i="38"/>
  <c r="AB68" i="38"/>
  <c r="AB12" i="37"/>
  <c r="AB68" i="37"/>
  <c r="AB12" i="36"/>
  <c r="AB12" i="34"/>
  <c r="AB12" i="32"/>
  <c r="AB12" i="31"/>
  <c r="AB12" i="30"/>
  <c r="AB12" i="29"/>
  <c r="AB68" i="29"/>
  <c r="AB12" i="28"/>
  <c r="AB68" i="28"/>
  <c r="AB12" i="27"/>
  <c r="AB68" i="27"/>
  <c r="AB12" i="25"/>
  <c r="AB12" i="24"/>
  <c r="AB68" i="24"/>
  <c r="AB12" i="23"/>
  <c r="AB13" i="23"/>
  <c r="AB14" i="23"/>
  <c r="AB15" i="23"/>
  <c r="AB16" i="23"/>
  <c r="AB17" i="23"/>
  <c r="AB18" i="23"/>
  <c r="AB19" i="23"/>
  <c r="AB20" i="23"/>
  <c r="AB21" i="23"/>
  <c r="AB22" i="23"/>
  <c r="AB23" i="23"/>
  <c r="AB24" i="23"/>
  <c r="AB25" i="23"/>
  <c r="AB26" i="23"/>
  <c r="AB27" i="23"/>
  <c r="AB28" i="23"/>
  <c r="AB29" i="23"/>
  <c r="AB30" i="23"/>
  <c r="AB31" i="23"/>
  <c r="AB32" i="23"/>
  <c r="AB33" i="23"/>
  <c r="AB34" i="23"/>
  <c r="AB35" i="23"/>
  <c r="AB36" i="23"/>
  <c r="AB37" i="23"/>
  <c r="AB38" i="23"/>
  <c r="AB39" i="23"/>
  <c r="AB40" i="23"/>
  <c r="AB41" i="23"/>
  <c r="AB42" i="23"/>
  <c r="AB43" i="23"/>
  <c r="AB44" i="23"/>
  <c r="AB49" i="23"/>
  <c r="AB50" i="23"/>
  <c r="AB51" i="23"/>
  <c r="AB52" i="23"/>
  <c r="AB53" i="23"/>
  <c r="AB54" i="23"/>
  <c r="AB55" i="23"/>
  <c r="AB56" i="23"/>
  <c r="AB57" i="23"/>
  <c r="AB58" i="23"/>
  <c r="AB59" i="23"/>
  <c r="AB60" i="23"/>
  <c r="AB61" i="23"/>
  <c r="AB62" i="23"/>
  <c r="AB63" i="23"/>
  <c r="AB64" i="23"/>
  <c r="AB66" i="23"/>
  <c r="AB67" i="23"/>
  <c r="E82" i="22"/>
  <c r="AB12" i="22"/>
  <c r="AB12" i="20"/>
  <c r="AB68" i="20"/>
  <c r="AB12" i="19"/>
  <c r="AB12" i="18"/>
  <c r="AB68" i="18"/>
  <c r="AB12" i="17"/>
  <c r="AB12" i="15"/>
  <c r="AB68" i="15"/>
  <c r="AB12" i="14"/>
  <c r="AB68" i="14"/>
  <c r="AB12" i="13"/>
  <c r="AB68" i="13"/>
  <c r="AB12" i="12"/>
  <c r="W74" i="8"/>
  <c r="W70" i="8"/>
  <c r="AB13" i="8"/>
  <c r="W68" i="4"/>
  <c r="W74" i="4" s="1"/>
  <c r="W70" i="4" s="1"/>
  <c r="AB12" i="5"/>
  <c r="Z73" i="5"/>
  <c r="R68" i="5"/>
  <c r="AA74" i="7"/>
  <c r="R68" i="7"/>
  <c r="R68" i="8"/>
  <c r="O82" i="29"/>
  <c r="AA74" i="35"/>
  <c r="AA70" i="35"/>
  <c r="AA85" i="35"/>
  <c r="U74" i="8"/>
  <c r="V72" i="8"/>
  <c r="AA85" i="7"/>
  <c r="AA70" i="7"/>
  <c r="U74" i="7"/>
  <c r="V72" i="7"/>
  <c r="AA68" i="4"/>
  <c r="AB68" i="5" s="1"/>
  <c r="AA81" i="4"/>
  <c r="AF16" i="4" s="1"/>
  <c r="U74" i="4"/>
  <c r="V72" i="4"/>
  <c r="U74" i="5"/>
  <c r="V72" i="5"/>
  <c r="AA85" i="38"/>
  <c r="AA70" i="38"/>
  <c r="AA70" i="36"/>
  <c r="AA85" i="36"/>
  <c r="AA70" i="32"/>
  <c r="AA85" i="32"/>
  <c r="AA85" i="27"/>
  <c r="AA70" i="25"/>
  <c r="AA85" i="25"/>
  <c r="AA85" i="23"/>
  <c r="AA70" i="23"/>
  <c r="AA85" i="18"/>
  <c r="AA70" i="18"/>
  <c r="AA85" i="13"/>
  <c r="AA70" i="13"/>
  <c r="AA70" i="39"/>
  <c r="AA85" i="39"/>
  <c r="AA70" i="37"/>
  <c r="AA85" i="37"/>
  <c r="AA70" i="28"/>
  <c r="AA85" i="28"/>
  <c r="AA70" i="26"/>
  <c r="AA85" i="26"/>
  <c r="AA85" i="24"/>
  <c r="AA70" i="24"/>
  <c r="AA85" i="19"/>
  <c r="AA85" i="17"/>
  <c r="AA70" i="17"/>
  <c r="AA85" i="12"/>
  <c r="AA70" i="12"/>
  <c r="V20" i="48"/>
  <c r="R20" i="47"/>
  <c r="V24" i="48"/>
  <c r="R24" i="48" s="1"/>
  <c r="R24" i="47"/>
  <c r="R40" i="47"/>
  <c r="V44" i="48"/>
  <c r="R44" i="48" s="1"/>
  <c r="R44" i="47"/>
  <c r="V52" i="48"/>
  <c r="R52" i="47"/>
  <c r="R30" i="47"/>
  <c r="R62" i="47"/>
  <c r="R53" i="48"/>
  <c r="V57" i="49"/>
  <c r="R57" i="48"/>
  <c r="V61" i="49"/>
  <c r="R61" i="49" s="1"/>
  <c r="R61" i="48"/>
  <c r="AA70" i="5"/>
  <c r="AB68" i="36"/>
  <c r="AB68" i="8"/>
  <c r="U15" i="9"/>
  <c r="I10" i="8"/>
  <c r="U17" i="9"/>
  <c r="U17" i="10" s="1"/>
  <c r="I12" i="8"/>
  <c r="U19" i="9"/>
  <c r="I14" i="8"/>
  <c r="I16" i="8"/>
  <c r="U23" i="9"/>
  <c r="I18" i="8"/>
  <c r="U25" i="9"/>
  <c r="U25" i="10" s="1"/>
  <c r="I20" i="8"/>
  <c r="U27" i="9"/>
  <c r="I22" i="9" s="1"/>
  <c r="I22" i="8"/>
  <c r="I24" i="8"/>
  <c r="U31" i="9"/>
  <c r="I26" i="8"/>
  <c r="U33" i="9"/>
  <c r="U33" i="10" s="1"/>
  <c r="I28" i="8"/>
  <c r="U35" i="9"/>
  <c r="I30" i="9" s="1"/>
  <c r="I30" i="8"/>
  <c r="I32" i="8"/>
  <c r="U39" i="9"/>
  <c r="I34" i="8"/>
  <c r="U41" i="9"/>
  <c r="I36" i="8"/>
  <c r="U43" i="9"/>
  <c r="I38" i="9" s="1"/>
  <c r="I38" i="8"/>
  <c r="I40" i="8"/>
  <c r="I42" i="8"/>
  <c r="U49" i="9"/>
  <c r="I44" i="8"/>
  <c r="U51" i="9"/>
  <c r="U53" i="9"/>
  <c r="I48" i="9" s="1"/>
  <c r="I48" i="8"/>
  <c r="U57" i="9"/>
  <c r="I52" i="8"/>
  <c r="U59" i="9"/>
  <c r="U59" i="10" s="1"/>
  <c r="U59" i="11" s="1"/>
  <c r="I54" i="11" s="1"/>
  <c r="I54" i="8"/>
  <c r="U61" i="9"/>
  <c r="I56" i="9" s="1"/>
  <c r="I56" i="8"/>
  <c r="U66" i="9"/>
  <c r="I61" i="8"/>
  <c r="U13" i="38"/>
  <c r="U13" i="39" s="1"/>
  <c r="I8" i="39" s="1"/>
  <c r="I8" i="37"/>
  <c r="U12" i="38"/>
  <c r="I7" i="37"/>
  <c r="U14" i="31"/>
  <c r="U20" i="31"/>
  <c r="I15" i="31" s="1"/>
  <c r="I15" i="30"/>
  <c r="U22" i="31"/>
  <c r="I17" i="30"/>
  <c r="U24" i="31"/>
  <c r="U30" i="31"/>
  <c r="U30" i="32" s="1"/>
  <c r="I25" i="30"/>
  <c r="U34" i="31"/>
  <c r="I29" i="31" s="1"/>
  <c r="U40" i="31"/>
  <c r="U40" i="32" s="1"/>
  <c r="I35" i="30"/>
  <c r="U44" i="31"/>
  <c r="U44" i="32" s="1"/>
  <c r="I39" i="30"/>
  <c r="I41" i="30"/>
  <c r="I43" i="30"/>
  <c r="I49" i="30"/>
  <c r="U56" i="31"/>
  <c r="I51" i="30"/>
  <c r="U58" i="31"/>
  <c r="I53" i="30"/>
  <c r="U64" i="31"/>
  <c r="I59" i="30"/>
  <c r="U67" i="9"/>
  <c r="I62" i="8"/>
  <c r="H41" i="27"/>
  <c r="H43" i="27"/>
  <c r="H40" i="27"/>
  <c r="H42" i="27"/>
  <c r="W74" i="35"/>
  <c r="W70" i="35"/>
  <c r="W74" i="26"/>
  <c r="W70" i="26"/>
  <c r="AB68" i="26"/>
  <c r="W74" i="16"/>
  <c r="W70" i="16" s="1"/>
  <c r="W74" i="11"/>
  <c r="W70" i="11"/>
  <c r="W74" i="7"/>
  <c r="W70" i="7"/>
  <c r="Z73" i="7"/>
  <c r="AA74" i="4"/>
  <c r="V70" i="8"/>
  <c r="U72" i="8"/>
  <c r="Z72" i="4"/>
  <c r="V70" i="5"/>
  <c r="U72" i="5"/>
  <c r="V61" i="50"/>
  <c r="V57" i="50"/>
  <c r="R57" i="50" s="1"/>
  <c r="R57" i="49"/>
  <c r="V62" i="49"/>
  <c r="R62" i="48"/>
  <c r="V44" i="49"/>
  <c r="V24" i="49"/>
  <c r="U64" i="32"/>
  <c r="I59" i="31"/>
  <c r="U56" i="32"/>
  <c r="U56" i="33" s="1"/>
  <c r="U56" i="34" s="1"/>
  <c r="I51" i="31"/>
  <c r="I43" i="31"/>
  <c r="I41" i="31"/>
  <c r="I39" i="31"/>
  <c r="U34" i="32"/>
  <c r="I25" i="31"/>
  <c r="U22" i="32"/>
  <c r="U22" i="33" s="1"/>
  <c r="U22" i="34" s="1"/>
  <c r="I17" i="31"/>
  <c r="U66" i="10"/>
  <c r="U66" i="11" s="1"/>
  <c r="I61" i="9"/>
  <c r="U61" i="10"/>
  <c r="U57" i="10"/>
  <c r="U57" i="11" s="1"/>
  <c r="I52" i="9"/>
  <c r="U53" i="10"/>
  <c r="U49" i="10"/>
  <c r="U49" i="11" s="1"/>
  <c r="I44" i="9"/>
  <c r="I42" i="9"/>
  <c r="I40" i="9"/>
  <c r="U43" i="10"/>
  <c r="U39" i="10"/>
  <c r="U39" i="11" s="1"/>
  <c r="I34" i="9"/>
  <c r="U35" i="10"/>
  <c r="U31" i="10"/>
  <c r="I26" i="9"/>
  <c r="U27" i="10"/>
  <c r="I20" i="9"/>
  <c r="U23" i="10"/>
  <c r="U23" i="11" s="1"/>
  <c r="U23" i="12" s="1"/>
  <c r="I18" i="12" s="1"/>
  <c r="I18" i="9"/>
  <c r="U15" i="10"/>
  <c r="I10" i="9"/>
  <c r="H42" i="28"/>
  <c r="H40" i="28"/>
  <c r="H43" i="28"/>
  <c r="H41" i="28"/>
  <c r="V5" i="4"/>
  <c r="U83" i="4"/>
  <c r="V3" i="4"/>
  <c r="U81" i="4" s="1"/>
  <c r="Z73" i="8"/>
  <c r="R30" i="49"/>
  <c r="U17" i="11"/>
  <c r="I12" i="10"/>
  <c r="I18" i="10"/>
  <c r="U25" i="11"/>
  <c r="U25" i="12" s="1"/>
  <c r="I20" i="10"/>
  <c r="U33" i="11"/>
  <c r="I28" i="10"/>
  <c r="I34" i="10"/>
  <c r="I40" i="10"/>
  <c r="I42" i="10"/>
  <c r="I44" i="10"/>
  <c r="I61" i="10"/>
  <c r="U13" i="40"/>
  <c r="U13" i="46" s="1"/>
  <c r="U40" i="33"/>
  <c r="I35" i="32"/>
  <c r="I41" i="32"/>
  <c r="I43" i="32"/>
  <c r="I57" i="32"/>
  <c r="H41" i="29"/>
  <c r="H43" i="29"/>
  <c r="H40" i="29"/>
  <c r="H42" i="29"/>
  <c r="Z73" i="9"/>
  <c r="I43" i="33"/>
  <c r="I41" i="33"/>
  <c r="I17" i="33"/>
  <c r="I8" i="40"/>
  <c r="U66" i="12"/>
  <c r="I61" i="12" s="1"/>
  <c r="I61" i="11"/>
  <c r="U59" i="12"/>
  <c r="U57" i="12"/>
  <c r="I52" i="12" s="1"/>
  <c r="I52" i="11"/>
  <c r="U49" i="12"/>
  <c r="I44" i="11"/>
  <c r="I42" i="11"/>
  <c r="I40" i="11"/>
  <c r="U39" i="12"/>
  <c r="I34" i="11"/>
  <c r="I18" i="11"/>
  <c r="H42" i="30"/>
  <c r="H40" i="30"/>
  <c r="H43" i="30"/>
  <c r="H41" i="30"/>
  <c r="Z73" i="10"/>
  <c r="Z21" i="4"/>
  <c r="Z20" i="4"/>
  <c r="Z12" i="4"/>
  <c r="X68" i="5"/>
  <c r="U23" i="13"/>
  <c r="I18" i="13" s="1"/>
  <c r="U39" i="13"/>
  <c r="U39" i="14" s="1"/>
  <c r="I34" i="12"/>
  <c r="I40" i="12"/>
  <c r="I42" i="12"/>
  <c r="U49" i="13"/>
  <c r="I44" i="13" s="1"/>
  <c r="I44" i="12"/>
  <c r="U57" i="13"/>
  <c r="U59" i="13"/>
  <c r="I54" i="12"/>
  <c r="U66" i="13"/>
  <c r="U66" i="14" s="1"/>
  <c r="I61" i="14" s="1"/>
  <c r="I41" i="34"/>
  <c r="I43" i="34"/>
  <c r="U56" i="35"/>
  <c r="I51" i="34"/>
  <c r="H41" i="31"/>
  <c r="H43" i="31"/>
  <c r="H40" i="31"/>
  <c r="H42" i="31"/>
  <c r="Z73" i="11"/>
  <c r="Y68" i="4"/>
  <c r="Y74" i="4" s="1"/>
  <c r="Z37" i="4"/>
  <c r="Z25" i="4"/>
  <c r="Z43" i="4"/>
  <c r="Z16" i="4"/>
  <c r="Z18" i="4"/>
  <c r="Z33" i="4"/>
  <c r="Z32" i="4"/>
  <c r="Z40" i="4"/>
  <c r="Z22" i="4"/>
  <c r="Z35" i="4"/>
  <c r="Z42" i="4"/>
  <c r="Z31" i="4"/>
  <c r="Z30" i="4"/>
  <c r="Z24" i="4"/>
  <c r="Z14" i="4"/>
  <c r="Z29" i="4"/>
  <c r="Z28" i="4"/>
  <c r="Z36" i="4"/>
  <c r="Z44" i="4"/>
  <c r="Z19" i="4"/>
  <c r="Z26" i="4"/>
  <c r="Z27" i="4"/>
  <c r="Z39" i="4"/>
  <c r="Z38" i="4"/>
  <c r="Z23" i="4"/>
  <c r="Z34" i="4"/>
  <c r="Z17" i="4"/>
  <c r="Z41" i="4"/>
  <c r="Z15" i="4"/>
  <c r="Z13" i="4"/>
  <c r="Z68" i="4" s="1"/>
  <c r="Z74" i="4" s="1"/>
  <c r="Z70" i="4" s="1"/>
  <c r="Y70" i="4"/>
  <c r="U56" i="36"/>
  <c r="I51" i="35"/>
  <c r="I43" i="35"/>
  <c r="I41" i="35"/>
  <c r="I61" i="13"/>
  <c r="U59" i="14"/>
  <c r="U59" i="15" s="1"/>
  <c r="I54" i="13"/>
  <c r="I42" i="13"/>
  <c r="I40" i="13"/>
  <c r="I34" i="13"/>
  <c r="U23" i="14"/>
  <c r="H42" i="32"/>
  <c r="H40" i="32"/>
  <c r="H43" i="32"/>
  <c r="H41" i="32"/>
  <c r="Z73" i="12"/>
  <c r="V78" i="4"/>
  <c r="V79" i="4" s="1"/>
  <c r="AA84" i="4"/>
  <c r="I40" i="14"/>
  <c r="I42" i="14"/>
  <c r="I54" i="14"/>
  <c r="I41" i="36"/>
  <c r="I43" i="36"/>
  <c r="H41" i="33"/>
  <c r="H43" i="33"/>
  <c r="H40" i="33"/>
  <c r="H42" i="33"/>
  <c r="Z73" i="13"/>
  <c r="I43" i="37"/>
  <c r="I41" i="37"/>
  <c r="I42" i="15"/>
  <c r="I40" i="15"/>
  <c r="H40" i="34"/>
  <c r="H43" i="34"/>
  <c r="H41" i="34"/>
  <c r="H42" i="34"/>
  <c r="Z73" i="14"/>
  <c r="I40" i="16"/>
  <c r="I42" i="16"/>
  <c r="I41" i="38"/>
  <c r="I43" i="38"/>
  <c r="H41" i="35"/>
  <c r="H43" i="35"/>
  <c r="H40" i="35"/>
  <c r="H42" i="35"/>
  <c r="Z73" i="15"/>
  <c r="Z67" i="5"/>
  <c r="Z65" i="5"/>
  <c r="I43" i="39"/>
  <c r="I41" i="39"/>
  <c r="I42" i="17"/>
  <c r="I40" i="17"/>
  <c r="H40" i="36"/>
  <c r="H43" i="36"/>
  <c r="H41" i="36"/>
  <c r="H42" i="36"/>
  <c r="Z73" i="16"/>
  <c r="Z20" i="5"/>
  <c r="Z21" i="5"/>
  <c r="Z65" i="7"/>
  <c r="Z67" i="7"/>
  <c r="I40" i="18"/>
  <c r="I42" i="18"/>
  <c r="I41" i="40"/>
  <c r="I43" i="40"/>
  <c r="H42" i="37"/>
  <c r="H41" i="37"/>
  <c r="H43" i="37"/>
  <c r="H40" i="37"/>
  <c r="X73" i="18"/>
  <c r="Y73" i="18"/>
  <c r="X73" i="19" s="1"/>
  <c r="Y73" i="19" s="1"/>
  <c r="X73" i="20" s="1"/>
  <c r="Y73" i="20" s="1"/>
  <c r="X73" i="21" s="1"/>
  <c r="Y73" i="21" s="1"/>
  <c r="X73" i="22" s="1"/>
  <c r="Y73" i="22" s="1"/>
  <c r="X73" i="23" s="1"/>
  <c r="Y73" i="23" s="1"/>
  <c r="X73" i="24" s="1"/>
  <c r="Y73" i="24" s="1"/>
  <c r="X73" i="25" s="1"/>
  <c r="Y73" i="25" s="1"/>
  <c r="X73" i="26" s="1"/>
  <c r="Y73" i="26" s="1"/>
  <c r="X73" i="27" s="1"/>
  <c r="Y73" i="27" s="1"/>
  <c r="X73" i="28" s="1"/>
  <c r="Y73" i="28" s="1"/>
  <c r="X73" i="29" s="1"/>
  <c r="Y73" i="29" s="1"/>
  <c r="X73" i="30" s="1"/>
  <c r="Y73" i="30" s="1"/>
  <c r="X73" i="31" s="1"/>
  <c r="Y73" i="31" s="1"/>
  <c r="X73" i="32" s="1"/>
  <c r="Y73" i="32" s="1"/>
  <c r="X73" i="33" s="1"/>
  <c r="Y73" i="33" s="1"/>
  <c r="X73" i="34" s="1"/>
  <c r="Y73" i="34" s="1"/>
  <c r="X73" i="35" s="1"/>
  <c r="Y73" i="35" s="1"/>
  <c r="X73" i="36" s="1"/>
  <c r="Y73" i="36" s="1"/>
  <c r="X73" i="37" s="1"/>
  <c r="Y73" i="37" s="1"/>
  <c r="X73" i="38" s="1"/>
  <c r="Y73" i="38" s="1"/>
  <c r="X73" i="39" s="1"/>
  <c r="Y73" i="39" s="1"/>
  <c r="X73" i="40" s="1"/>
  <c r="Y73" i="40" s="1"/>
  <c r="X73" i="46" s="1"/>
  <c r="Y73" i="46" s="1"/>
  <c r="X73" i="47" s="1"/>
  <c r="Y73" i="47" s="1"/>
  <c r="X73" i="48" s="1"/>
  <c r="Y73" i="48" s="1"/>
  <c r="X73" i="49" s="1"/>
  <c r="Y73" i="49" s="1"/>
  <c r="X73" i="50" s="1"/>
  <c r="Y73" i="50" s="1"/>
  <c r="X73" i="51" s="1"/>
  <c r="Y73" i="51" s="1"/>
  <c r="X73" i="52" s="1"/>
  <c r="Y73" i="52" s="1"/>
  <c r="X73" i="53" s="1"/>
  <c r="Y73" i="53" s="1"/>
  <c r="X73" i="54" s="1"/>
  <c r="Y73" i="54" s="1"/>
  <c r="X73" i="55" s="1"/>
  <c r="Y73" i="55" s="1"/>
  <c r="X73" i="56" s="1"/>
  <c r="Y73" i="56" s="1"/>
  <c r="X73" i="57" s="1"/>
  <c r="Y73" i="57" s="1"/>
  <c r="Z59" i="5"/>
  <c r="Z16" i="5"/>
  <c r="Z55" i="5"/>
  <c r="Z62" i="5"/>
  <c r="Z18" i="5"/>
  <c r="Z54" i="5"/>
  <c r="Z57" i="5"/>
  <c r="Z61" i="5"/>
  <c r="Z53" i="5"/>
  <c r="Z60" i="5"/>
  <c r="Z19" i="5"/>
  <c r="Z67" i="8"/>
  <c r="Z65" i="8"/>
  <c r="Z21" i="7"/>
  <c r="Z20" i="7"/>
  <c r="I43" i="46"/>
  <c r="I41" i="46"/>
  <c r="I42" i="19"/>
  <c r="I40" i="19"/>
  <c r="H40" i="39"/>
  <c r="H40" i="38"/>
  <c r="H43" i="39"/>
  <c r="H43" i="38"/>
  <c r="H41" i="39"/>
  <c r="H41" i="38"/>
  <c r="H42" i="39"/>
  <c r="H42" i="38"/>
  <c r="Z34" i="5"/>
  <c r="Z28" i="5"/>
  <c r="Z36" i="5"/>
  <c r="Z26" i="5"/>
  <c r="Z24" i="5"/>
  <c r="Z27" i="5"/>
  <c r="Z31" i="5"/>
  <c r="Z32" i="5"/>
  <c r="Z35" i="5"/>
  <c r="Z49" i="5"/>
  <c r="Z43" i="5"/>
  <c r="Z51" i="5"/>
  <c r="Z41" i="5"/>
  <c r="Z52" i="5"/>
  <c r="Z39" i="5"/>
  <c r="Z42" i="5"/>
  <c r="Z44" i="5"/>
  <c r="Z20" i="8"/>
  <c r="Z65" i="9"/>
  <c r="Z67" i="9"/>
  <c r="Z19" i="7"/>
  <c r="Z57" i="7"/>
  <c r="Z54" i="7"/>
  <c r="Z18" i="7"/>
  <c r="Z62" i="7"/>
  <c r="Z55" i="7"/>
  <c r="Z16" i="7"/>
  <c r="I40" i="20"/>
  <c r="I42" i="20"/>
  <c r="I41" i="47"/>
  <c r="I43" i="47"/>
  <c r="Z16" i="8"/>
  <c r="Z57" i="8"/>
  <c r="Z67" i="10"/>
  <c r="Z65" i="10"/>
  <c r="Z20" i="9"/>
  <c r="Z42" i="7"/>
  <c r="Z39" i="7"/>
  <c r="Z51" i="7"/>
  <c r="Z43" i="7"/>
  <c r="Z49" i="7"/>
  <c r="Z32" i="7"/>
  <c r="Z31" i="7"/>
  <c r="Z24" i="7"/>
  <c r="Z26" i="7"/>
  <c r="Z36" i="7"/>
  <c r="Z28" i="7"/>
  <c r="Z12" i="5"/>
  <c r="I43" i="48"/>
  <c r="I41" i="48"/>
  <c r="I42" i="21"/>
  <c r="I40" i="21"/>
  <c r="Z26" i="8"/>
  <c r="Z24" i="8"/>
  <c r="Z31" i="8"/>
  <c r="Z32" i="8"/>
  <c r="Z49" i="8"/>
  <c r="Z42" i="8"/>
  <c r="Z20" i="10"/>
  <c r="I40" i="22"/>
  <c r="I42" i="22"/>
  <c r="I41" i="49"/>
  <c r="I43" i="49"/>
  <c r="Z20" i="11"/>
  <c r="Z42" i="9"/>
  <c r="Z32" i="9"/>
  <c r="Z26" i="9"/>
  <c r="I43" i="50"/>
  <c r="I41" i="50"/>
  <c r="I42" i="23"/>
  <c r="I40" i="23"/>
  <c r="Z20" i="12"/>
  <c r="Z26" i="10"/>
  <c r="Z32" i="10"/>
  <c r="Z42" i="10"/>
  <c r="X74" i="5"/>
  <c r="I40" i="24"/>
  <c r="I42" i="24"/>
  <c r="I41" i="51"/>
  <c r="I43" i="51"/>
  <c r="Z26" i="11"/>
  <c r="AA77" i="5"/>
  <c r="AA79" i="5" s="1"/>
  <c r="Z72" i="5"/>
  <c r="I43" i="52"/>
  <c r="I41" i="52"/>
  <c r="I42" i="25"/>
  <c r="I40" i="25"/>
  <c r="AA77" i="7"/>
  <c r="AA79" i="7" s="1"/>
  <c r="Z72" i="7"/>
  <c r="I40" i="26"/>
  <c r="I42" i="26"/>
  <c r="I41" i="53"/>
  <c r="I43" i="53"/>
  <c r="AA77" i="8"/>
  <c r="AA79" i="8" s="1"/>
  <c r="AA80" i="9" s="1"/>
  <c r="AA81" i="9" s="1"/>
  <c r="Z72" i="8"/>
  <c r="I43" i="54"/>
  <c r="I41" i="54"/>
  <c r="I42" i="27"/>
  <c r="I40" i="27"/>
  <c r="X65" i="18"/>
  <c r="Y65" i="18" s="1"/>
  <c r="X65" i="19" s="1"/>
  <c r="Y65" i="19" s="1"/>
  <c r="I40" i="28"/>
  <c r="I42" i="28"/>
  <c r="I41" i="55"/>
  <c r="I43" i="55"/>
  <c r="AA77" i="9"/>
  <c r="AA79" i="9"/>
  <c r="AA80" i="10"/>
  <c r="I43" i="57"/>
  <c r="I43" i="56"/>
  <c r="I41" i="57"/>
  <c r="I41" i="56"/>
  <c r="I42" i="29"/>
  <c r="I40" i="29"/>
  <c r="X65" i="20"/>
  <c r="Y65" i="20" s="1"/>
  <c r="AF16" i="9"/>
  <c r="I40" i="30"/>
  <c r="I42" i="30"/>
  <c r="AA77" i="10"/>
  <c r="X65" i="21"/>
  <c r="Y65" i="21" s="1"/>
  <c r="X65" i="22" s="1"/>
  <c r="Y65" i="22" s="1"/>
  <c r="X65" i="23" s="1"/>
  <c r="Y65" i="23" s="1"/>
  <c r="X65" i="24" s="1"/>
  <c r="Y65" i="24" s="1"/>
  <c r="X65" i="25" s="1"/>
  <c r="Y65" i="25" s="1"/>
  <c r="AA79" i="10"/>
  <c r="AA81" i="10"/>
  <c r="AF16" i="10"/>
  <c r="I42" i="31"/>
  <c r="I40" i="31"/>
  <c r="AA80" i="11"/>
  <c r="I40" i="32"/>
  <c r="I42" i="32"/>
  <c r="AA77" i="11"/>
  <c r="AA79" i="11" s="1"/>
  <c r="I42" i="33"/>
  <c r="I40" i="33"/>
  <c r="I40" i="34"/>
  <c r="I42" i="34"/>
  <c r="AA77" i="12"/>
  <c r="AA79" i="12" s="1"/>
  <c r="AA80" i="13"/>
  <c r="AA81" i="13" s="1"/>
  <c r="AF16" i="13" s="1"/>
  <c r="I42" i="35"/>
  <c r="I40" i="35"/>
  <c r="X65" i="26"/>
  <c r="Y65" i="26" s="1"/>
  <c r="X65" i="27" s="1"/>
  <c r="Y65" i="27" s="1"/>
  <c r="X65" i="28" s="1"/>
  <c r="Y65" i="28" s="1"/>
  <c r="X65" i="29" s="1"/>
  <c r="Y65" i="29" s="1"/>
  <c r="X65" i="30" s="1"/>
  <c r="Y65" i="30" s="1"/>
  <c r="X65" i="31" s="1"/>
  <c r="Y65" i="31" s="1"/>
  <c r="X65" i="32" s="1"/>
  <c r="Y65" i="32" s="1"/>
  <c r="X65" i="33" s="1"/>
  <c r="Y65" i="33" s="1"/>
  <c r="X65" i="34" s="1"/>
  <c r="Y65" i="34" s="1"/>
  <c r="X65" i="35" s="1"/>
  <c r="Y65" i="35" s="1"/>
  <c r="X65" i="36" s="1"/>
  <c r="Y65" i="36" s="1"/>
  <c r="X65" i="37" s="1"/>
  <c r="Y65" i="37" s="1"/>
  <c r="X65" i="38" s="1"/>
  <c r="Y65" i="38" s="1"/>
  <c r="X65" i="39" s="1"/>
  <c r="Y65" i="39" s="1"/>
  <c r="X65" i="40" s="1"/>
  <c r="Y65" i="40" s="1"/>
  <c r="X65" i="46" s="1"/>
  <c r="Y65" i="46" s="1"/>
  <c r="X65" i="47" s="1"/>
  <c r="Y65" i="47" s="1"/>
  <c r="X65" i="48" s="1"/>
  <c r="Y65" i="48" s="1"/>
  <c r="X65" i="49" s="1"/>
  <c r="Y65" i="49" s="1"/>
  <c r="X65" i="50" s="1"/>
  <c r="Y65" i="50" s="1"/>
  <c r="X65" i="51" s="1"/>
  <c r="Y65" i="51" s="1"/>
  <c r="X65" i="52" s="1"/>
  <c r="Y65" i="52" s="1"/>
  <c r="X65" i="53" s="1"/>
  <c r="Y65" i="53" s="1"/>
  <c r="X65" i="54" s="1"/>
  <c r="Y65" i="54" s="1"/>
  <c r="X65" i="55" s="1"/>
  <c r="Y65" i="55" s="1"/>
  <c r="X65" i="56" s="1"/>
  <c r="Y65" i="56" s="1"/>
  <c r="X65" i="57" s="1"/>
  <c r="Y65" i="57" s="1"/>
  <c r="I40" i="36"/>
  <c r="I42" i="36"/>
  <c r="AA77" i="13"/>
  <c r="AA79" i="13"/>
  <c r="AA80" i="14"/>
  <c r="I42" i="37"/>
  <c r="I40" i="37"/>
  <c r="I40" i="38"/>
  <c r="I42" i="38"/>
  <c r="AA77" i="14"/>
  <c r="AA79" i="14"/>
  <c r="I42" i="39"/>
  <c r="I40" i="39"/>
  <c r="AA80" i="15"/>
  <c r="I40" i="40"/>
  <c r="I42" i="40"/>
  <c r="AA77" i="15"/>
  <c r="AA79" i="15" s="1"/>
  <c r="AA80" i="16" s="1"/>
  <c r="I42" i="46"/>
  <c r="I40" i="46"/>
  <c r="AA81" i="15"/>
  <c r="AF16" i="15" s="1"/>
  <c r="I40" i="47"/>
  <c r="I42" i="47"/>
  <c r="AA77" i="16"/>
  <c r="AA79" i="16"/>
  <c r="AA81" i="16" s="1"/>
  <c r="AF16" i="16" s="1"/>
  <c r="AA80" i="17"/>
  <c r="I42" i="48"/>
  <c r="I40" i="48"/>
  <c r="I40" i="49"/>
  <c r="I42" i="49"/>
  <c r="AA77" i="17"/>
  <c r="AA79" i="17" s="1"/>
  <c r="X72" i="18"/>
  <c r="Y72" i="18" s="1"/>
  <c r="I42" i="50"/>
  <c r="I40" i="50"/>
  <c r="I40" i="51"/>
  <c r="I42" i="51"/>
  <c r="I42" i="52"/>
  <c r="I40" i="52"/>
  <c r="I40" i="53"/>
  <c r="I42" i="53"/>
  <c r="I42" i="54"/>
  <c r="I40" i="54"/>
  <c r="I40" i="55"/>
  <c r="I42" i="55"/>
  <c r="I42" i="57"/>
  <c r="I42" i="56"/>
  <c r="I40" i="57"/>
  <c r="I40" i="56"/>
  <c r="U74" i="9" l="1"/>
  <c r="R68" i="9"/>
  <c r="R14" i="18"/>
  <c r="R14" i="19"/>
  <c r="V23" i="50"/>
  <c r="R23" i="49"/>
  <c r="U36" i="31"/>
  <c r="I31" i="30"/>
  <c r="U13" i="47"/>
  <c r="I8" i="46"/>
  <c r="R23" i="48"/>
  <c r="AB17" i="22"/>
  <c r="AB25" i="22"/>
  <c r="AB33" i="22"/>
  <c r="AB37" i="22"/>
  <c r="AB41" i="22"/>
  <c r="AB44" i="22"/>
  <c r="AB56" i="22"/>
  <c r="AB60" i="22"/>
  <c r="AB64" i="22"/>
  <c r="V50" i="35"/>
  <c r="R50" i="34"/>
  <c r="U16" i="22"/>
  <c r="I11" i="21"/>
  <c r="U32" i="22"/>
  <c r="I27" i="21"/>
  <c r="U60" i="22"/>
  <c r="I55" i="21"/>
  <c r="V57" i="51"/>
  <c r="AA70" i="21"/>
  <c r="U54" i="32"/>
  <c r="I49" i="31"/>
  <c r="V40" i="51"/>
  <c r="R40" i="50"/>
  <c r="R53" i="49"/>
  <c r="V53" i="50"/>
  <c r="T63" i="22"/>
  <c r="H58" i="21"/>
  <c r="V14" i="22"/>
  <c r="R14" i="21"/>
  <c r="V37" i="22"/>
  <c r="R37" i="21"/>
  <c r="V41" i="46"/>
  <c r="R41" i="40"/>
  <c r="V54" i="22"/>
  <c r="R54" i="21"/>
  <c r="V18" i="24"/>
  <c r="R18" i="23"/>
  <c r="U20" i="32"/>
  <c r="I57" i="30"/>
  <c r="U14" i="32"/>
  <c r="I9" i="31"/>
  <c r="V15" i="25"/>
  <c r="R15" i="24"/>
  <c r="V26" i="28"/>
  <c r="R26" i="27"/>
  <c r="V64" i="22"/>
  <c r="R64" i="21"/>
  <c r="U44" i="33"/>
  <c r="I39" i="32"/>
  <c r="U24" i="32"/>
  <c r="I19" i="31"/>
  <c r="V20" i="49"/>
  <c r="R20" i="48"/>
  <c r="V31" i="48"/>
  <c r="R31" i="47"/>
  <c r="V19" i="49"/>
  <c r="R19" i="48"/>
  <c r="V27" i="24"/>
  <c r="R27" i="23"/>
  <c r="V32" i="22"/>
  <c r="R32" i="21"/>
  <c r="V43" i="23"/>
  <c r="R43" i="22"/>
  <c r="V51" i="27"/>
  <c r="R51" i="26"/>
  <c r="V30" i="51"/>
  <c r="R30" i="50"/>
  <c r="V38" i="35"/>
  <c r="R38" i="34"/>
  <c r="AB13" i="22"/>
  <c r="V16" i="22"/>
  <c r="R16" i="21"/>
  <c r="V21" i="22"/>
  <c r="R21" i="21"/>
  <c r="I51" i="33"/>
  <c r="I57" i="31"/>
  <c r="V25" i="36"/>
  <c r="R25" i="35"/>
  <c r="V34" i="27"/>
  <c r="R34" i="26"/>
  <c r="V39" i="23"/>
  <c r="R39" i="22"/>
  <c r="AB18" i="22"/>
  <c r="AB26" i="22"/>
  <c r="AB34" i="22"/>
  <c r="AB42" i="22"/>
  <c r="AB49" i="22"/>
  <c r="AB57" i="22"/>
  <c r="AB66" i="22"/>
  <c r="AB21" i="21"/>
  <c r="AB29" i="21"/>
  <c r="AB37" i="21"/>
  <c r="W68" i="21"/>
  <c r="O82" i="21"/>
  <c r="X12" i="8"/>
  <c r="Z12" i="7"/>
  <c r="AA81" i="14"/>
  <c r="AF16" i="14" s="1"/>
  <c r="U66" i="15"/>
  <c r="X72" i="19"/>
  <c r="Y72" i="19" s="1"/>
  <c r="AA77" i="18"/>
  <c r="AA79" i="18" s="1"/>
  <c r="AA81" i="17"/>
  <c r="AF16" i="17" s="1"/>
  <c r="AA80" i="18"/>
  <c r="AA81" i="12"/>
  <c r="AF16" i="12" s="1"/>
  <c r="AA80" i="12"/>
  <c r="AA81" i="11"/>
  <c r="AF16" i="11" s="1"/>
  <c r="AA81" i="7"/>
  <c r="AF16" i="7" s="1"/>
  <c r="AA80" i="8"/>
  <c r="AA81" i="8" s="1"/>
  <c r="AF16" i="8" s="1"/>
  <c r="AA81" i="5"/>
  <c r="AF16" i="5" s="1"/>
  <c r="AA80" i="7"/>
  <c r="U56" i="37"/>
  <c r="I51" i="36"/>
  <c r="U50" i="31"/>
  <c r="I45" i="30"/>
  <c r="I17" i="34"/>
  <c r="U22" i="35"/>
  <c r="U25" i="13"/>
  <c r="I20" i="12"/>
  <c r="U49" i="14"/>
  <c r="U39" i="15"/>
  <c r="I34" i="14"/>
  <c r="U23" i="15"/>
  <c r="I18" i="14"/>
  <c r="U57" i="14"/>
  <c r="I52" i="13"/>
  <c r="U59" i="16"/>
  <c r="I54" i="15"/>
  <c r="U51" i="10"/>
  <c r="I46" i="9"/>
  <c r="U41" i="10"/>
  <c r="I36" i="9"/>
  <c r="U55" i="9"/>
  <c r="I50" i="8"/>
  <c r="U63" i="9"/>
  <c r="I58" i="8"/>
  <c r="AA74" i="29"/>
  <c r="AB68" i="30"/>
  <c r="AA86" i="4"/>
  <c r="AG27" i="4"/>
  <c r="I57" i="33"/>
  <c r="U62" i="34"/>
  <c r="U40" i="34"/>
  <c r="I35" i="33"/>
  <c r="U31" i="11"/>
  <c r="I26" i="10"/>
  <c r="U17" i="12"/>
  <c r="I12" i="11"/>
  <c r="U30" i="33"/>
  <c r="I25" i="32"/>
  <c r="I7" i="38"/>
  <c r="U12" i="39"/>
  <c r="I14" i="9"/>
  <c r="U19" i="10"/>
  <c r="U15" i="11"/>
  <c r="I10" i="10"/>
  <c r="R62" i="49"/>
  <c r="V62" i="50"/>
  <c r="V70" i="9"/>
  <c r="U72" i="9"/>
  <c r="AA68" i="31"/>
  <c r="AB50" i="32"/>
  <c r="U67" i="10"/>
  <c r="I62" i="9"/>
  <c r="U58" i="32"/>
  <c r="I53" i="31"/>
  <c r="U33" i="12"/>
  <c r="I28" i="11"/>
  <c r="U64" i="33"/>
  <c r="I59" i="32"/>
  <c r="AA85" i="4"/>
  <c r="AA70" i="4"/>
  <c r="U72" i="7"/>
  <c r="V70" i="7"/>
  <c r="W74" i="21"/>
  <c r="W70" i="21" s="1"/>
  <c r="U61" i="11"/>
  <c r="I56" i="10"/>
  <c r="R23" i="50"/>
  <c r="V23" i="51"/>
  <c r="I12" i="9"/>
  <c r="I28" i="9"/>
  <c r="R40" i="48"/>
  <c r="R30" i="48"/>
  <c r="V19" i="50"/>
  <c r="R19" i="49"/>
  <c r="V70" i="4"/>
  <c r="U72" i="4"/>
  <c r="AA85" i="14"/>
  <c r="AA70" i="14"/>
  <c r="T44" i="11"/>
  <c r="H39" i="10"/>
  <c r="I20" i="11"/>
  <c r="I54" i="10"/>
  <c r="R40" i="49"/>
  <c r="U35" i="11"/>
  <c r="I30" i="10"/>
  <c r="U34" i="33"/>
  <c r="I29" i="32"/>
  <c r="V44" i="50"/>
  <c r="R44" i="49"/>
  <c r="V53" i="51"/>
  <c r="R53" i="50"/>
  <c r="V52" i="49"/>
  <c r="R52" i="48"/>
  <c r="AB22" i="7"/>
  <c r="I51" i="32"/>
  <c r="I8" i="38"/>
  <c r="AA68" i="16"/>
  <c r="I52" i="10"/>
  <c r="U53" i="11"/>
  <c r="I48" i="10"/>
  <c r="AB68" i="7"/>
  <c r="V13" i="48"/>
  <c r="R13" i="47"/>
  <c r="U27" i="11"/>
  <c r="I22" i="10"/>
  <c r="U43" i="11"/>
  <c r="I38" i="10"/>
  <c r="V24" i="50"/>
  <c r="R24" i="49"/>
  <c r="V61" i="51"/>
  <c r="R61" i="50"/>
  <c r="U21" i="10"/>
  <c r="I16" i="9"/>
  <c r="U29" i="10"/>
  <c r="I24" i="9"/>
  <c r="U37" i="10"/>
  <c r="I32" i="9"/>
  <c r="I17" i="32"/>
  <c r="I54" i="9"/>
  <c r="I35" i="31"/>
  <c r="AA74" i="34"/>
  <c r="AB68" i="35"/>
  <c r="AB44" i="33"/>
  <c r="W68" i="33"/>
  <c r="AA68" i="9"/>
  <c r="AA68" i="30"/>
  <c r="T40" i="8"/>
  <c r="H35" i="7"/>
  <c r="V33" i="20"/>
  <c r="R33" i="19"/>
  <c r="W68" i="40"/>
  <c r="T37" i="9"/>
  <c r="H32" i="8"/>
  <c r="AA68" i="11"/>
  <c r="AB15" i="11"/>
  <c r="AA68" i="10"/>
  <c r="AB13" i="21"/>
  <c r="AA68" i="20"/>
  <c r="AA74" i="20" s="1"/>
  <c r="AA68" i="40"/>
  <c r="AA74" i="40" s="1"/>
  <c r="AB13" i="46"/>
  <c r="AA68" i="8"/>
  <c r="W68" i="23"/>
  <c r="AA68" i="33"/>
  <c r="W68" i="39"/>
  <c r="H47" i="9"/>
  <c r="U26" i="20"/>
  <c r="I21" i="19"/>
  <c r="U42" i="12"/>
  <c r="I37" i="11"/>
  <c r="V12" i="22"/>
  <c r="R12" i="21"/>
  <c r="T16" i="8"/>
  <c r="H11" i="7"/>
  <c r="T23" i="10"/>
  <c r="H18" i="9"/>
  <c r="V17" i="25"/>
  <c r="R17" i="24"/>
  <c r="V22" i="30"/>
  <c r="R22" i="29"/>
  <c r="V28" i="27"/>
  <c r="R28" i="26"/>
  <c r="V55" i="32"/>
  <c r="R55" i="31"/>
  <c r="AA68" i="15"/>
  <c r="W68" i="22"/>
  <c r="W68" i="25"/>
  <c r="O82" i="39"/>
  <c r="T56" i="9"/>
  <c r="H51" i="8"/>
  <c r="T61" i="19"/>
  <c r="H56" i="18"/>
  <c r="T64" i="9"/>
  <c r="H59" i="8"/>
  <c r="AA68" i="22"/>
  <c r="AA74" i="22" s="1"/>
  <c r="H30" i="13"/>
  <c r="T35" i="14"/>
  <c r="T52" i="11"/>
  <c r="H47" i="10"/>
  <c r="T59" i="17"/>
  <c r="H54" i="16"/>
  <c r="T62" i="23"/>
  <c r="H57" i="22"/>
  <c r="T29" i="16"/>
  <c r="H24" i="15"/>
  <c r="T50" i="11"/>
  <c r="H45" i="10"/>
  <c r="T12" i="12"/>
  <c r="H7" i="11"/>
  <c r="T14" i="14"/>
  <c r="H9" i="13"/>
  <c r="T17" i="12"/>
  <c r="H12" i="11"/>
  <c r="T19" i="16"/>
  <c r="H14" i="15"/>
  <c r="T21" i="9"/>
  <c r="H16" i="8"/>
  <c r="T26" i="9"/>
  <c r="H21" i="8"/>
  <c r="H27" i="5"/>
  <c r="T32" i="7"/>
  <c r="T41" i="15"/>
  <c r="H36" i="14"/>
  <c r="T57" i="18"/>
  <c r="H52" i="17"/>
  <c r="T27" i="7"/>
  <c r="H22" i="5"/>
  <c r="T33" i="15"/>
  <c r="H28" i="14"/>
  <c r="T38" i="14"/>
  <c r="H33" i="13"/>
  <c r="T55" i="23"/>
  <c r="H50" i="22"/>
  <c r="AA74" i="53"/>
  <c r="AB68" i="54"/>
  <c r="T24" i="16"/>
  <c r="H19" i="15"/>
  <c r="T36" i="13"/>
  <c r="H31" i="12"/>
  <c r="T53" i="10"/>
  <c r="H48" i="9"/>
  <c r="T60" i="11"/>
  <c r="H55" i="10"/>
  <c r="T20" i="13"/>
  <c r="H15" i="12"/>
  <c r="T22" i="14"/>
  <c r="H17" i="13"/>
  <c r="T28" i="13"/>
  <c r="H23" i="12"/>
  <c r="T30" i="8"/>
  <c r="H25" i="7"/>
  <c r="T39" i="18"/>
  <c r="H34" i="17"/>
  <c r="T42" i="16"/>
  <c r="H37" i="15"/>
  <c r="T49" i="12"/>
  <c r="H44" i="11"/>
  <c r="T63" i="23"/>
  <c r="H58" i="22"/>
  <c r="T13" i="9"/>
  <c r="H8" i="8"/>
  <c r="T15" i="11"/>
  <c r="H10" i="10"/>
  <c r="T18" i="11"/>
  <c r="H13" i="10"/>
  <c r="T31" i="11"/>
  <c r="H26" i="10"/>
  <c r="T51" i="10"/>
  <c r="H46" i="9"/>
  <c r="T58" i="18"/>
  <c r="H53" i="17"/>
  <c r="T25" i="12"/>
  <c r="H20" i="11"/>
  <c r="T34" i="9"/>
  <c r="H29" i="8"/>
  <c r="T43" i="14"/>
  <c r="H38" i="13"/>
  <c r="T54" i="10"/>
  <c r="H49" i="9"/>
  <c r="U52" i="15"/>
  <c r="I47" i="14"/>
  <c r="H57" i="15"/>
  <c r="U38" i="14"/>
  <c r="I33" i="13"/>
  <c r="U28" i="11"/>
  <c r="I23" i="10"/>
  <c r="H57" i="16"/>
  <c r="H57" i="19"/>
  <c r="U18" i="15"/>
  <c r="I13" i="14"/>
  <c r="H57" i="14"/>
  <c r="H57" i="17"/>
  <c r="AB26" i="47"/>
  <c r="AB61" i="47"/>
  <c r="W68" i="46"/>
  <c r="AB58" i="47"/>
  <c r="V29" i="11"/>
  <c r="V68" i="10"/>
  <c r="W68" i="47"/>
  <c r="AB38" i="47"/>
  <c r="V42" i="18"/>
  <c r="AA68" i="50"/>
  <c r="V63" i="11"/>
  <c r="V49" i="11"/>
  <c r="AA68" i="48"/>
  <c r="AA68" i="46"/>
  <c r="AA74" i="46" s="1"/>
  <c r="AB15" i="47"/>
  <c r="AB19" i="47"/>
  <c r="AB23" i="47"/>
  <c r="AB27" i="47"/>
  <c r="AB31" i="47"/>
  <c r="V73" i="18"/>
  <c r="Z73" i="17"/>
  <c r="V65" i="11"/>
  <c r="Y42" i="11"/>
  <c r="Y30" i="5"/>
  <c r="U65" i="9"/>
  <c r="I60" i="8"/>
  <c r="V66" i="11"/>
  <c r="Y60" i="7"/>
  <c r="Y59" i="7"/>
  <c r="V60" i="11"/>
  <c r="R73" i="10"/>
  <c r="Y67" i="11"/>
  <c r="X67" i="12" s="1"/>
  <c r="Y67" i="12" s="1"/>
  <c r="X67" i="13" s="1"/>
  <c r="Y67" i="13" s="1"/>
  <c r="X67" i="14" s="1"/>
  <c r="Y67" i="14" s="1"/>
  <c r="X67" i="15" s="1"/>
  <c r="Y67" i="15" s="1"/>
  <c r="X67" i="16" s="1"/>
  <c r="Y67" i="16" s="1"/>
  <c r="X67" i="17" s="1"/>
  <c r="Y67" i="17" s="1"/>
  <c r="X67" i="18" s="1"/>
  <c r="Y67" i="18" s="1"/>
  <c r="X67" i="19" s="1"/>
  <c r="Y67" i="19" s="1"/>
  <c r="X67" i="20" s="1"/>
  <c r="Y67" i="20" s="1"/>
  <c r="X67" i="21" s="1"/>
  <c r="Y67" i="21" s="1"/>
  <c r="X67" i="22" s="1"/>
  <c r="Y67" i="22" s="1"/>
  <c r="X67" i="23" s="1"/>
  <c r="Y67" i="23" s="1"/>
  <c r="X67" i="24" s="1"/>
  <c r="Y67" i="24" s="1"/>
  <c r="X67" i="25" s="1"/>
  <c r="Y67" i="25" s="1"/>
  <c r="X67" i="26" s="1"/>
  <c r="Y67" i="26" s="1"/>
  <c r="X67" i="27" s="1"/>
  <c r="Y67" i="27" s="1"/>
  <c r="V59" i="11"/>
  <c r="V58" i="11"/>
  <c r="V56" i="11"/>
  <c r="V36" i="11"/>
  <c r="V67" i="11"/>
  <c r="Y61" i="7"/>
  <c r="Y63" i="5"/>
  <c r="Y58" i="5"/>
  <c r="Y57" i="9"/>
  <c r="Y56" i="5"/>
  <c r="Y39" i="8"/>
  <c r="Y24" i="9"/>
  <c r="Y64" i="5"/>
  <c r="Y62" i="8"/>
  <c r="Y49" i="9"/>
  <c r="Y66" i="5"/>
  <c r="Y55" i="8"/>
  <c r="Y53" i="7"/>
  <c r="Y50" i="5"/>
  <c r="Y44" i="7"/>
  <c r="Y43" i="8"/>
  <c r="Y41" i="7"/>
  <c r="Y40" i="5"/>
  <c r="Y37" i="5"/>
  <c r="Y18" i="8"/>
  <c r="Y54" i="8"/>
  <c r="Y52" i="7"/>
  <c r="Y51" i="8"/>
  <c r="Y32" i="11"/>
  <c r="Y36" i="8"/>
  <c r="Y28" i="8"/>
  <c r="Y19" i="8"/>
  <c r="Y15" i="5"/>
  <c r="Y38" i="5"/>
  <c r="Y34" i="7"/>
  <c r="Y29" i="5"/>
  <c r="Y33" i="5"/>
  <c r="Y21" i="8"/>
  <c r="Y13" i="5"/>
  <c r="Y25" i="5"/>
  <c r="Y17" i="5"/>
  <c r="Y12" i="8"/>
  <c r="Y26" i="12"/>
  <c r="Y16" i="9"/>
  <c r="Y35" i="7"/>
  <c r="Y31" i="9"/>
  <c r="Y14" i="5"/>
  <c r="Y27" i="7"/>
  <c r="Y23" i="5"/>
  <c r="Y20" i="13"/>
  <c r="Y22" i="5"/>
  <c r="V39" i="24" l="1"/>
  <c r="R39" i="23"/>
  <c r="V21" i="23"/>
  <c r="R21" i="22"/>
  <c r="V51" i="28"/>
  <c r="R51" i="27"/>
  <c r="I39" i="33"/>
  <c r="U44" i="34"/>
  <c r="U14" i="33"/>
  <c r="I9" i="32"/>
  <c r="R41" i="46"/>
  <c r="V41" i="47"/>
  <c r="U60" i="23"/>
  <c r="I55" i="22"/>
  <c r="V43" i="24"/>
  <c r="R43" i="23"/>
  <c r="V31" i="49"/>
  <c r="R31" i="48"/>
  <c r="V64" i="23"/>
  <c r="R64" i="22"/>
  <c r="U20" i="33"/>
  <c r="I15" i="32"/>
  <c r="V37" i="23"/>
  <c r="R37" i="22"/>
  <c r="R40" i="51"/>
  <c r="V40" i="52"/>
  <c r="U32" i="23"/>
  <c r="I27" i="22"/>
  <c r="U13" i="48"/>
  <c r="I8" i="47"/>
  <c r="V34" i="28"/>
  <c r="R34" i="27"/>
  <c r="V25" i="37"/>
  <c r="R25" i="36"/>
  <c r="V38" i="36"/>
  <c r="R38" i="35"/>
  <c r="V32" i="23"/>
  <c r="R32" i="22"/>
  <c r="V20" i="50"/>
  <c r="R20" i="49"/>
  <c r="V26" i="29"/>
  <c r="R26" i="28"/>
  <c r="V18" i="25"/>
  <c r="R18" i="24"/>
  <c r="V14" i="23"/>
  <c r="R14" i="22"/>
  <c r="U54" i="33"/>
  <c r="I49" i="32"/>
  <c r="U16" i="23"/>
  <c r="I11" i="22"/>
  <c r="U36" i="32"/>
  <c r="I31" i="31"/>
  <c r="V16" i="23"/>
  <c r="R16" i="22"/>
  <c r="V30" i="52"/>
  <c r="R30" i="51"/>
  <c r="V27" i="25"/>
  <c r="R27" i="24"/>
  <c r="U24" i="33"/>
  <c r="I19" i="32"/>
  <c r="V15" i="26"/>
  <c r="R15" i="25"/>
  <c r="V54" i="23"/>
  <c r="R54" i="22"/>
  <c r="V57" i="52"/>
  <c r="R57" i="51"/>
  <c r="V50" i="36"/>
  <c r="R50" i="35"/>
  <c r="X67" i="28"/>
  <c r="Y67" i="28" s="1"/>
  <c r="X67" i="29"/>
  <c r="Y67" i="29" s="1"/>
  <c r="X67" i="30" s="1"/>
  <c r="Y67" i="30" s="1"/>
  <c r="X67" i="31" s="1"/>
  <c r="Y67" i="31" s="1"/>
  <c r="X67" i="32" s="1"/>
  <c r="Y67" i="32" s="1"/>
  <c r="X67" i="33" s="1"/>
  <c r="Y67" i="33" s="1"/>
  <c r="X67" i="34" s="1"/>
  <c r="Y67" i="34" s="1"/>
  <c r="X67" i="35" s="1"/>
  <c r="Y67" i="35" s="1"/>
  <c r="X67" i="36" s="1"/>
  <c r="Y67" i="36" s="1"/>
  <c r="X67" i="37" s="1"/>
  <c r="Y67" i="37" s="1"/>
  <c r="X67" i="38" s="1"/>
  <c r="Y67" i="38" s="1"/>
  <c r="X67" i="39" s="1"/>
  <c r="Y67" i="39" s="1"/>
  <c r="X67" i="40" s="1"/>
  <c r="Y67" i="40" s="1"/>
  <c r="X67" i="46" s="1"/>
  <c r="Y67" i="46" s="1"/>
  <c r="X67" i="47" s="1"/>
  <c r="Y67" i="47" s="1"/>
  <c r="X67" i="48" s="1"/>
  <c r="Y67" i="48" s="1"/>
  <c r="X67" i="49" s="1"/>
  <c r="Y67" i="49" s="1"/>
  <c r="X67" i="50" s="1"/>
  <c r="Y67" i="50" s="1"/>
  <c r="X67" i="51" s="1"/>
  <c r="Y67" i="51" s="1"/>
  <c r="X67" i="52" s="1"/>
  <c r="Y67" i="52" s="1"/>
  <c r="X67" i="53" s="1"/>
  <c r="Y67" i="53" s="1"/>
  <c r="X67" i="54" s="1"/>
  <c r="Y67" i="54" s="1"/>
  <c r="X67" i="55" s="1"/>
  <c r="Y67" i="55" s="1"/>
  <c r="X67" i="56" s="1"/>
  <c r="Y67" i="56" s="1"/>
  <c r="X67" i="57" s="1"/>
  <c r="Y67" i="57" s="1"/>
  <c r="X22" i="7"/>
  <c r="Y22" i="7" s="1"/>
  <c r="Z22" i="5"/>
  <c r="X36" i="9"/>
  <c r="Y36" i="9" s="1"/>
  <c r="Z36" i="8"/>
  <c r="T49" i="13"/>
  <c r="H44" i="12"/>
  <c r="T57" i="19"/>
  <c r="H52" i="18"/>
  <c r="AA74" i="9"/>
  <c r="AB68" i="10"/>
  <c r="X17" i="7"/>
  <c r="Y17" i="7" s="1"/>
  <c r="Z17" i="5"/>
  <c r="X58" i="7"/>
  <c r="Y58" i="7" s="1"/>
  <c r="Z58" i="5"/>
  <c r="V56" i="12"/>
  <c r="V66" i="12"/>
  <c r="AB68" i="46"/>
  <c r="W74" i="46"/>
  <c r="W70" i="46" s="1"/>
  <c r="T61" i="20"/>
  <c r="H56" i="19"/>
  <c r="V55" i="33"/>
  <c r="R55" i="32"/>
  <c r="T23" i="11"/>
  <c r="H18" i="10"/>
  <c r="U26" i="21"/>
  <c r="I21" i="20"/>
  <c r="AA85" i="20"/>
  <c r="AA70" i="20"/>
  <c r="V52" i="50"/>
  <c r="R52" i="49"/>
  <c r="U35" i="12"/>
  <c r="I30" i="11"/>
  <c r="U61" i="12"/>
  <c r="I56" i="11"/>
  <c r="U64" i="34"/>
  <c r="I59" i="33"/>
  <c r="I62" i="10"/>
  <c r="U67" i="11"/>
  <c r="AA88" i="4"/>
  <c r="AF14" i="4" s="1"/>
  <c r="AA87" i="5"/>
  <c r="U49" i="15"/>
  <c r="I44" i="14"/>
  <c r="U50" i="32"/>
  <c r="I45" i="31"/>
  <c r="T55" i="24"/>
  <c r="H50" i="23"/>
  <c r="AA85" i="40"/>
  <c r="AA70" i="40"/>
  <c r="I24" i="10"/>
  <c r="U29" i="11"/>
  <c r="R24" i="50"/>
  <c r="V24" i="51"/>
  <c r="U12" i="40"/>
  <c r="I7" i="39"/>
  <c r="AA81" i="18"/>
  <c r="AF16" i="18" s="1"/>
  <c r="AA80" i="19"/>
  <c r="X51" i="9"/>
  <c r="Y51" i="9" s="1"/>
  <c r="Z51" i="8"/>
  <c r="X38" i="7"/>
  <c r="Y38" i="7" s="1"/>
  <c r="Z38" i="5"/>
  <c r="X19" i="9"/>
  <c r="Y19" i="9" s="1"/>
  <c r="Z19" i="8"/>
  <c r="X49" i="10"/>
  <c r="Y49" i="10" s="1"/>
  <c r="Z49" i="9"/>
  <c r="X63" i="7"/>
  <c r="Y63" i="7" s="1"/>
  <c r="Z63" i="5"/>
  <c r="V67" i="12"/>
  <c r="Z67" i="11"/>
  <c r="T54" i="11"/>
  <c r="H49" i="10"/>
  <c r="T58" i="19"/>
  <c r="H53" i="18"/>
  <c r="T15" i="12"/>
  <c r="H10" i="11"/>
  <c r="T42" i="17"/>
  <c r="H37" i="16"/>
  <c r="T22" i="15"/>
  <c r="H17" i="14"/>
  <c r="T36" i="14"/>
  <c r="H31" i="13"/>
  <c r="T38" i="15"/>
  <c r="H33" i="14"/>
  <c r="T41" i="16"/>
  <c r="H36" i="15"/>
  <c r="T19" i="17"/>
  <c r="H14" i="16"/>
  <c r="T50" i="12"/>
  <c r="H45" i="11"/>
  <c r="T52" i="12"/>
  <c r="H47" i="11"/>
  <c r="V33" i="21"/>
  <c r="R33" i="20"/>
  <c r="W74" i="33"/>
  <c r="W70" i="33" s="1"/>
  <c r="AB68" i="33"/>
  <c r="I16" i="10"/>
  <c r="U21" i="11"/>
  <c r="U43" i="12"/>
  <c r="I38" i="11"/>
  <c r="U53" i="12"/>
  <c r="I48" i="11"/>
  <c r="U59" i="17"/>
  <c r="I54" i="16"/>
  <c r="AA77" i="19"/>
  <c r="AA79" i="19" s="1"/>
  <c r="X72" i="20"/>
  <c r="Y72" i="20" s="1"/>
  <c r="X27" i="8"/>
  <c r="Y27" i="8" s="1"/>
  <c r="Z27" i="7"/>
  <c r="AB68" i="47"/>
  <c r="W74" i="47"/>
  <c r="W70" i="47" s="1"/>
  <c r="T28" i="14"/>
  <c r="H23" i="13"/>
  <c r="T21" i="10"/>
  <c r="H16" i="9"/>
  <c r="W74" i="40"/>
  <c r="W70" i="40" s="1"/>
  <c r="AB68" i="40"/>
  <c r="V62" i="51"/>
  <c r="R62" i="50"/>
  <c r="U39" i="16"/>
  <c r="I34" i="15"/>
  <c r="X35" i="8"/>
  <c r="Y35" i="8" s="1"/>
  <c r="Z35" i="7"/>
  <c r="X21" i="9"/>
  <c r="Y21" i="9" s="1"/>
  <c r="Z21" i="8"/>
  <c r="X37" i="7"/>
  <c r="Y37" i="7" s="1"/>
  <c r="Z37" i="5"/>
  <c r="X44" i="8"/>
  <c r="Y44" i="8" s="1"/>
  <c r="Z44" i="7"/>
  <c r="X20" i="14"/>
  <c r="Y20" i="14" s="1"/>
  <c r="Z20" i="13"/>
  <c r="X16" i="10"/>
  <c r="Y16" i="10" s="1"/>
  <c r="Z16" i="9"/>
  <c r="X25" i="7"/>
  <c r="Y25" i="7" s="1"/>
  <c r="Z25" i="5"/>
  <c r="X52" i="8"/>
  <c r="Y52" i="8" s="1"/>
  <c r="Z52" i="7"/>
  <c r="X50" i="7"/>
  <c r="Y50" i="7" s="1"/>
  <c r="Z50" i="5"/>
  <c r="V58" i="12"/>
  <c r="X59" i="8"/>
  <c r="Y59" i="8" s="1"/>
  <c r="Z59" i="7"/>
  <c r="U65" i="10"/>
  <c r="I60" i="9"/>
  <c r="V65" i="12"/>
  <c r="Z65" i="11"/>
  <c r="V63" i="12"/>
  <c r="U28" i="12"/>
  <c r="I23" i="11"/>
  <c r="T32" i="8"/>
  <c r="H27" i="7"/>
  <c r="T35" i="15"/>
  <c r="H30" i="14"/>
  <c r="T56" i="10"/>
  <c r="H51" i="9"/>
  <c r="V28" i="28"/>
  <c r="R28" i="27"/>
  <c r="T16" i="9"/>
  <c r="H11" i="8"/>
  <c r="W74" i="39"/>
  <c r="W70" i="39" s="1"/>
  <c r="AB68" i="39"/>
  <c r="AA74" i="10"/>
  <c r="AB68" i="11"/>
  <c r="AB68" i="21"/>
  <c r="U33" i="13"/>
  <c r="I28" i="12"/>
  <c r="AA74" i="31"/>
  <c r="AB68" i="32"/>
  <c r="U15" i="12"/>
  <c r="I10" i="11"/>
  <c r="U30" i="34"/>
  <c r="I25" i="33"/>
  <c r="I26" i="11"/>
  <c r="U31" i="12"/>
  <c r="AA70" i="29"/>
  <c r="AA85" i="29"/>
  <c r="U41" i="11"/>
  <c r="I36" i="10"/>
  <c r="I51" i="37"/>
  <c r="U56" i="38"/>
  <c r="I61" i="15"/>
  <c r="U66" i="16"/>
  <c r="T25" i="13"/>
  <c r="H20" i="12"/>
  <c r="T53" i="11"/>
  <c r="H48" i="10"/>
  <c r="T12" i="13"/>
  <c r="H7" i="12"/>
  <c r="U57" i="15"/>
  <c r="I52" i="14"/>
  <c r="X29" i="7"/>
  <c r="Y29" i="7" s="1"/>
  <c r="Z29" i="5"/>
  <c r="X40" i="7"/>
  <c r="Y40" i="7" s="1"/>
  <c r="Z40" i="5"/>
  <c r="X66" i="7"/>
  <c r="Y66" i="7" s="1"/>
  <c r="Z66" i="5"/>
  <c r="X64" i="7"/>
  <c r="Y64" i="7" s="1"/>
  <c r="Z64" i="5"/>
  <c r="X39" i="9"/>
  <c r="Y39" i="9" s="1"/>
  <c r="Z39" i="8"/>
  <c r="V60" i="12"/>
  <c r="AA70" i="46"/>
  <c r="AA85" i="46"/>
  <c r="AA74" i="50"/>
  <c r="AB68" i="51"/>
  <c r="T43" i="15"/>
  <c r="H38" i="14"/>
  <c r="T51" i="11"/>
  <c r="H46" i="10"/>
  <c r="T13" i="10"/>
  <c r="H8" i="9"/>
  <c r="T39" i="19"/>
  <c r="H34" i="18"/>
  <c r="T20" i="14"/>
  <c r="H15" i="13"/>
  <c r="T24" i="17"/>
  <c r="H19" i="16"/>
  <c r="T33" i="16"/>
  <c r="H28" i="15"/>
  <c r="T17" i="13"/>
  <c r="H12" i="12"/>
  <c r="T29" i="17"/>
  <c r="H24" i="16"/>
  <c r="AA74" i="33"/>
  <c r="AB68" i="34"/>
  <c r="T40" i="9"/>
  <c r="H35" i="8"/>
  <c r="I22" i="11"/>
  <c r="U27" i="12"/>
  <c r="AA74" i="16"/>
  <c r="AB68" i="17"/>
  <c r="V19" i="51"/>
  <c r="R19" i="50"/>
  <c r="U23" i="16"/>
  <c r="I18" i="15"/>
  <c r="X34" i="8"/>
  <c r="Y34" i="8" s="1"/>
  <c r="Z34" i="7"/>
  <c r="X62" i="9"/>
  <c r="Y62" i="9" s="1"/>
  <c r="Z62" i="8"/>
  <c r="T59" i="18"/>
  <c r="H54" i="17"/>
  <c r="X23" i="7"/>
  <c r="Y23" i="7" s="1"/>
  <c r="Z23" i="5"/>
  <c r="X54" i="9"/>
  <c r="Y54" i="9" s="1"/>
  <c r="Z54" i="8"/>
  <c r="R68" i="10"/>
  <c r="U73" i="10"/>
  <c r="V72" i="10"/>
  <c r="U74" i="10"/>
  <c r="U38" i="15"/>
  <c r="I33" i="14"/>
  <c r="AA70" i="22"/>
  <c r="AA85" i="22"/>
  <c r="W74" i="25"/>
  <c r="W70" i="25" s="1"/>
  <c r="AB68" i="25"/>
  <c r="V22" i="31"/>
  <c r="R22" i="30"/>
  <c r="V12" i="23"/>
  <c r="R12" i="22"/>
  <c r="W74" i="23"/>
  <c r="W70" i="23" s="1"/>
  <c r="AB68" i="23"/>
  <c r="AB68" i="12"/>
  <c r="AA74" i="11"/>
  <c r="AA70" i="34"/>
  <c r="AA85" i="34"/>
  <c r="V53" i="52"/>
  <c r="R53" i="51"/>
  <c r="V44" i="51"/>
  <c r="R44" i="50"/>
  <c r="U17" i="13"/>
  <c r="I12" i="12"/>
  <c r="U40" i="35"/>
  <c r="I35" i="34"/>
  <c r="U63" i="10"/>
  <c r="I58" i="9"/>
  <c r="U51" i="11"/>
  <c r="I46" i="10"/>
  <c r="U25" i="14"/>
  <c r="I20" i="13"/>
  <c r="X14" i="7"/>
  <c r="Y14" i="7" s="1"/>
  <c r="Z14" i="5"/>
  <c r="U52" i="16"/>
  <c r="I47" i="15"/>
  <c r="AB68" i="49"/>
  <c r="AA74" i="48"/>
  <c r="X31" i="10"/>
  <c r="Y31" i="10" s="1"/>
  <c r="Z31" i="9"/>
  <c r="X26" i="13"/>
  <c r="Y26" i="13" s="1"/>
  <c r="Z26" i="12"/>
  <c r="X13" i="7"/>
  <c r="Y68" i="5"/>
  <c r="Z13" i="5"/>
  <c r="X33" i="7"/>
  <c r="Y33" i="7" s="1"/>
  <c r="Z33" i="5"/>
  <c r="X28" i="9"/>
  <c r="Y28" i="9" s="1"/>
  <c r="Z28" i="8"/>
  <c r="X32" i="12"/>
  <c r="Y32" i="12" s="1"/>
  <c r="Z32" i="11"/>
  <c r="X24" i="10"/>
  <c r="Y24" i="10" s="1"/>
  <c r="Z24" i="9"/>
  <c r="V36" i="12"/>
  <c r="X60" i="8"/>
  <c r="Y60" i="8" s="1"/>
  <c r="Z60" i="7"/>
  <c r="X42" i="12"/>
  <c r="Y42" i="12" s="1"/>
  <c r="Z42" i="11"/>
  <c r="V73" i="19"/>
  <c r="R73" i="18"/>
  <c r="Z73" i="18"/>
  <c r="V29" i="12"/>
  <c r="V68" i="11"/>
  <c r="T34" i="10"/>
  <c r="H29" i="9"/>
  <c r="T31" i="12"/>
  <c r="H26" i="11"/>
  <c r="T63" i="24"/>
  <c r="H58" i="23"/>
  <c r="T30" i="9"/>
  <c r="H25" i="8"/>
  <c r="T60" i="12"/>
  <c r="H55" i="11"/>
  <c r="AA85" i="53"/>
  <c r="AA70" i="53"/>
  <c r="T27" i="8"/>
  <c r="H22" i="7"/>
  <c r="T26" i="10"/>
  <c r="H21" i="9"/>
  <c r="T14" i="15"/>
  <c r="H9" i="14"/>
  <c r="T62" i="24"/>
  <c r="H57" i="23"/>
  <c r="W74" i="22"/>
  <c r="W70" i="22" s="1"/>
  <c r="AB68" i="22"/>
  <c r="AB68" i="9"/>
  <c r="AA74" i="8"/>
  <c r="I32" i="10"/>
  <c r="U37" i="11"/>
  <c r="R61" i="51"/>
  <c r="V61" i="52"/>
  <c r="V13" i="49"/>
  <c r="R13" i="48"/>
  <c r="T44" i="12"/>
  <c r="H39" i="11"/>
  <c r="V23" i="52"/>
  <c r="R23" i="51"/>
  <c r="U19" i="11"/>
  <c r="I14" i="10"/>
  <c r="U62" i="35"/>
  <c r="I57" i="34"/>
  <c r="U22" i="36"/>
  <c r="I17" i="35"/>
  <c r="T18" i="12"/>
  <c r="H13" i="11"/>
  <c r="X41" i="8"/>
  <c r="Y41" i="8" s="1"/>
  <c r="Z41" i="7"/>
  <c r="X53" i="8"/>
  <c r="Y53" i="8" s="1"/>
  <c r="Z53" i="7"/>
  <c r="X56" i="7"/>
  <c r="Y56" i="7" s="1"/>
  <c r="Z56" i="5"/>
  <c r="V59" i="12"/>
  <c r="X30" i="7"/>
  <c r="Y30" i="7" s="1"/>
  <c r="Z30" i="5"/>
  <c r="V42" i="19"/>
  <c r="R42" i="18"/>
  <c r="X12" i="9"/>
  <c r="Z12" i="8"/>
  <c r="X15" i="7"/>
  <c r="Y15" i="7" s="1"/>
  <c r="Z15" i="5"/>
  <c r="X18" i="9"/>
  <c r="Y18" i="9" s="1"/>
  <c r="Z18" i="8"/>
  <c r="X43" i="9"/>
  <c r="Y43" i="9" s="1"/>
  <c r="Z43" i="8"/>
  <c r="X55" i="9"/>
  <c r="Y55" i="9" s="1"/>
  <c r="Z55" i="8"/>
  <c r="X57" i="10"/>
  <c r="Y57" i="10" s="1"/>
  <c r="Z57" i="9"/>
  <c r="X61" i="8"/>
  <c r="Y61" i="8" s="1"/>
  <c r="Z61" i="7"/>
  <c r="V49" i="12"/>
  <c r="U18" i="16"/>
  <c r="I13" i="15"/>
  <c r="T64" i="10"/>
  <c r="H59" i="9"/>
  <c r="AA74" i="15"/>
  <c r="AB68" i="16"/>
  <c r="V17" i="26"/>
  <c r="R17" i="25"/>
  <c r="U42" i="13"/>
  <c r="I37" i="12"/>
  <c r="T37" i="10"/>
  <c r="H32" i="9"/>
  <c r="AB68" i="31"/>
  <c r="AA74" i="30"/>
  <c r="I29" i="33"/>
  <c r="U34" i="34"/>
  <c r="U58" i="33"/>
  <c r="I53" i="32"/>
  <c r="U55" i="10"/>
  <c r="I50" i="9"/>
  <c r="U44" i="35" l="1"/>
  <c r="I39" i="34"/>
  <c r="V54" i="24"/>
  <c r="R54" i="23"/>
  <c r="R30" i="52"/>
  <c r="V30" i="53"/>
  <c r="I49" i="33"/>
  <c r="U54" i="34"/>
  <c r="V20" i="51"/>
  <c r="R20" i="50"/>
  <c r="V34" i="29"/>
  <c r="R34" i="28"/>
  <c r="V37" i="24"/>
  <c r="R37" i="23"/>
  <c r="V43" i="25"/>
  <c r="R43" i="24"/>
  <c r="R15" i="26"/>
  <c r="V15" i="27"/>
  <c r="V16" i="24"/>
  <c r="R16" i="23"/>
  <c r="V14" i="24"/>
  <c r="R14" i="23"/>
  <c r="V32" i="24"/>
  <c r="R32" i="23"/>
  <c r="U13" i="49"/>
  <c r="I8" i="48"/>
  <c r="I15" i="33"/>
  <c r="U20" i="34"/>
  <c r="U60" i="24"/>
  <c r="I55" i="23"/>
  <c r="V51" i="29"/>
  <c r="R51" i="28"/>
  <c r="V41" i="48"/>
  <c r="R41" i="47"/>
  <c r="V50" i="37"/>
  <c r="R50" i="36"/>
  <c r="I19" i="33"/>
  <c r="U24" i="34"/>
  <c r="U36" i="33"/>
  <c r="I31" i="32"/>
  <c r="V18" i="26"/>
  <c r="R18" i="25"/>
  <c r="V38" i="37"/>
  <c r="R38" i="36"/>
  <c r="U32" i="24"/>
  <c r="I27" i="23"/>
  <c r="V64" i="24"/>
  <c r="R64" i="23"/>
  <c r="V21" i="24"/>
  <c r="R21" i="23"/>
  <c r="V40" i="53"/>
  <c r="R40" i="52"/>
  <c r="V57" i="53"/>
  <c r="R57" i="52"/>
  <c r="V27" i="26"/>
  <c r="R27" i="25"/>
  <c r="U16" i="24"/>
  <c r="I11" i="23"/>
  <c r="V26" i="30"/>
  <c r="R26" i="29"/>
  <c r="V25" i="38"/>
  <c r="R25" i="37"/>
  <c r="R31" i="49"/>
  <c r="V31" i="50"/>
  <c r="I9" i="33"/>
  <c r="U14" i="34"/>
  <c r="V39" i="25"/>
  <c r="R39" i="24"/>
  <c r="V29" i="13"/>
  <c r="R29" i="12"/>
  <c r="V68" i="12"/>
  <c r="I46" i="11"/>
  <c r="U51" i="12"/>
  <c r="X35" i="9"/>
  <c r="Y35" i="9" s="1"/>
  <c r="Z35" i="8"/>
  <c r="X27" i="9"/>
  <c r="Y27" i="9" s="1"/>
  <c r="Z27" i="8"/>
  <c r="U59" i="18"/>
  <c r="I54" i="17"/>
  <c r="X19" i="10"/>
  <c r="Y19" i="10" s="1"/>
  <c r="Z19" i="9"/>
  <c r="AA70" i="15"/>
  <c r="AA85" i="15"/>
  <c r="X56" i="8"/>
  <c r="Y56" i="8" s="1"/>
  <c r="Z56" i="7"/>
  <c r="U22" i="37"/>
  <c r="I17" i="36"/>
  <c r="U19" i="12"/>
  <c r="I14" i="11"/>
  <c r="R13" i="49"/>
  <c r="V13" i="50"/>
  <c r="X28" i="10"/>
  <c r="Y28" i="10" s="1"/>
  <c r="Z28" i="9"/>
  <c r="R44" i="51"/>
  <c r="V44" i="52"/>
  <c r="V22" i="32"/>
  <c r="R22" i="31"/>
  <c r="V70" i="10"/>
  <c r="U72" i="10"/>
  <c r="Z72" i="10"/>
  <c r="T59" i="19"/>
  <c r="H54" i="18"/>
  <c r="AA70" i="33"/>
  <c r="AA85" i="33"/>
  <c r="T24" i="18"/>
  <c r="H19" i="17"/>
  <c r="T51" i="12"/>
  <c r="H46" i="11"/>
  <c r="V28" i="29"/>
  <c r="R28" i="28"/>
  <c r="U28" i="13"/>
  <c r="I23" i="12"/>
  <c r="U65" i="11"/>
  <c r="I60" i="10"/>
  <c r="AA77" i="20"/>
  <c r="AA79" i="20" s="1"/>
  <c r="X72" i="21"/>
  <c r="Y72" i="21" s="1"/>
  <c r="V33" i="22"/>
  <c r="R33" i="21"/>
  <c r="T41" i="17"/>
  <c r="H36" i="16"/>
  <c r="T42" i="18"/>
  <c r="H37" i="17"/>
  <c r="T55" i="25"/>
  <c r="H50" i="24"/>
  <c r="X17" i="8"/>
  <c r="Y17" i="8" s="1"/>
  <c r="Z17" i="7"/>
  <c r="T49" i="14"/>
  <c r="H44" i="13"/>
  <c r="T27" i="9"/>
  <c r="H22" i="8"/>
  <c r="I16" i="11"/>
  <c r="U21" i="12"/>
  <c r="U64" i="35"/>
  <c r="I59" i="34"/>
  <c r="X61" i="9"/>
  <c r="Y61" i="9" s="1"/>
  <c r="Z61" i="8"/>
  <c r="V42" i="20"/>
  <c r="R42" i="19"/>
  <c r="T62" i="25"/>
  <c r="H57" i="24"/>
  <c r="T31" i="13"/>
  <c r="H26" i="12"/>
  <c r="X31" i="11"/>
  <c r="Y31" i="11" s="1"/>
  <c r="Z31" i="10"/>
  <c r="I58" i="10"/>
  <c r="U63" i="11"/>
  <c r="V60" i="13"/>
  <c r="R60" i="12"/>
  <c r="X40" i="8"/>
  <c r="Y40" i="8" s="1"/>
  <c r="Z40" i="7"/>
  <c r="T53" i="12"/>
  <c r="H48" i="11"/>
  <c r="AA70" i="31"/>
  <c r="AA85" i="31"/>
  <c r="AA85" i="10"/>
  <c r="AA70" i="10"/>
  <c r="X52" i="9"/>
  <c r="Y52" i="9" s="1"/>
  <c r="Z52" i="8"/>
  <c r="X44" i="9"/>
  <c r="Y44" i="9" s="1"/>
  <c r="Z44" i="8"/>
  <c r="I34" i="16"/>
  <c r="U39" i="17"/>
  <c r="T21" i="11"/>
  <c r="H16" i="10"/>
  <c r="I48" i="12"/>
  <c r="U53" i="13"/>
  <c r="V67" i="13"/>
  <c r="R67" i="12"/>
  <c r="Z67" i="12"/>
  <c r="X38" i="8"/>
  <c r="Y38" i="8" s="1"/>
  <c r="Z38" i="7"/>
  <c r="V24" i="52"/>
  <c r="R24" i="51"/>
  <c r="I56" i="12"/>
  <c r="U61" i="13"/>
  <c r="R52" i="50"/>
  <c r="V52" i="51"/>
  <c r="V66" i="13"/>
  <c r="R66" i="12"/>
  <c r="U41" i="12"/>
  <c r="I36" i="11"/>
  <c r="X20" i="15"/>
  <c r="Y20" i="15" s="1"/>
  <c r="Z20" i="14"/>
  <c r="V36" i="13"/>
  <c r="R36" i="12"/>
  <c r="X33" i="8"/>
  <c r="Y33" i="8" s="1"/>
  <c r="Z33" i="7"/>
  <c r="AA85" i="48"/>
  <c r="AA70" i="48"/>
  <c r="X62" i="10"/>
  <c r="Y62" i="10" s="1"/>
  <c r="Z62" i="9"/>
  <c r="R19" i="51"/>
  <c r="V19" i="52"/>
  <c r="T29" i="18"/>
  <c r="H24" i="17"/>
  <c r="T20" i="15"/>
  <c r="H15" i="14"/>
  <c r="T43" i="16"/>
  <c r="H38" i="15"/>
  <c r="I26" i="12"/>
  <c r="U31" i="13"/>
  <c r="T56" i="11"/>
  <c r="H51" i="10"/>
  <c r="X59" i="9"/>
  <c r="Y59" i="9" s="1"/>
  <c r="Z59" i="8"/>
  <c r="V62" i="52"/>
  <c r="R62" i="51"/>
  <c r="AA80" i="20"/>
  <c r="AA81" i="19"/>
  <c r="AF16" i="19" s="1"/>
  <c r="T52" i="13"/>
  <c r="H47" i="12"/>
  <c r="T38" i="16"/>
  <c r="H33" i="15"/>
  <c r="T15" i="13"/>
  <c r="H10" i="12"/>
  <c r="V55" i="34"/>
  <c r="R55" i="33"/>
  <c r="X36" i="10"/>
  <c r="Y36" i="10" s="1"/>
  <c r="Z36" i="9"/>
  <c r="X43" i="10"/>
  <c r="Y43" i="10" s="1"/>
  <c r="Z43" i="9"/>
  <c r="T63" i="25"/>
  <c r="H58" i="24"/>
  <c r="T12" i="14"/>
  <c r="H7" i="13"/>
  <c r="X50" i="8"/>
  <c r="Y50" i="8" s="1"/>
  <c r="Z50" i="7"/>
  <c r="T23" i="12"/>
  <c r="H18" i="11"/>
  <c r="T37" i="11"/>
  <c r="H32" i="10"/>
  <c r="X18" i="10"/>
  <c r="Y18" i="10" s="1"/>
  <c r="Z18" i="9"/>
  <c r="T64" i="11"/>
  <c r="H59" i="10"/>
  <c r="X53" i="9"/>
  <c r="Y53" i="9" s="1"/>
  <c r="Z53" i="8"/>
  <c r="U42" i="14"/>
  <c r="I37" i="13"/>
  <c r="X57" i="11"/>
  <c r="Y57" i="11" s="1"/>
  <c r="Z57" i="10"/>
  <c r="X15" i="8"/>
  <c r="Y15" i="8" s="1"/>
  <c r="Z15" i="7"/>
  <c r="X30" i="8"/>
  <c r="Y30" i="8" s="1"/>
  <c r="Z30" i="7"/>
  <c r="V23" i="53"/>
  <c r="R23" i="52"/>
  <c r="T14" i="16"/>
  <c r="H9" i="15"/>
  <c r="T60" i="13"/>
  <c r="H55" i="12"/>
  <c r="T34" i="11"/>
  <c r="H29" i="10"/>
  <c r="V73" i="20"/>
  <c r="R73" i="19"/>
  <c r="Z73" i="19"/>
  <c r="Z68" i="5"/>
  <c r="Z74" i="5" s="1"/>
  <c r="Z70" i="5" s="1"/>
  <c r="U40" i="36"/>
  <c r="I35" i="35"/>
  <c r="R53" i="52"/>
  <c r="V53" i="53"/>
  <c r="X39" i="10"/>
  <c r="Y39" i="10" s="1"/>
  <c r="Z39" i="9"/>
  <c r="X29" i="8"/>
  <c r="Y29" i="8" s="1"/>
  <c r="Z29" i="7"/>
  <c r="T25" i="14"/>
  <c r="H20" i="13"/>
  <c r="U33" i="14"/>
  <c r="I28" i="13"/>
  <c r="V63" i="13"/>
  <c r="R63" i="12"/>
  <c r="X25" i="8"/>
  <c r="Y25" i="8" s="1"/>
  <c r="Z25" i="7"/>
  <c r="X37" i="8"/>
  <c r="Y37" i="8" s="1"/>
  <c r="Z37" i="7"/>
  <c r="T28" i="15"/>
  <c r="H23" i="14"/>
  <c r="I38" i="12"/>
  <c r="U43" i="13"/>
  <c r="X63" i="8"/>
  <c r="Y63" i="8" s="1"/>
  <c r="Z63" i="7"/>
  <c r="X51" i="10"/>
  <c r="Y51" i="10" s="1"/>
  <c r="Z51" i="9"/>
  <c r="I24" i="11"/>
  <c r="U29" i="12"/>
  <c r="I30" i="12"/>
  <c r="U35" i="13"/>
  <c r="V49" i="13"/>
  <c r="R49" i="12"/>
  <c r="X60" i="9"/>
  <c r="Y60" i="9" s="1"/>
  <c r="Z60" i="8"/>
  <c r="X66" i="8"/>
  <c r="Y66" i="8" s="1"/>
  <c r="Z66" i="7"/>
  <c r="I10" i="12"/>
  <c r="U15" i="13"/>
  <c r="U12" i="46"/>
  <c r="I7" i="40"/>
  <c r="U18" i="17"/>
  <c r="I13" i="16"/>
  <c r="X41" i="9"/>
  <c r="Y41" i="9" s="1"/>
  <c r="Z41" i="8"/>
  <c r="AA85" i="8"/>
  <c r="AA70" i="8"/>
  <c r="X24" i="11"/>
  <c r="Y24" i="11" s="1"/>
  <c r="Z24" i="10"/>
  <c r="AG27" i="5"/>
  <c r="Y74" i="5"/>
  <c r="X54" i="10"/>
  <c r="Y54" i="10" s="1"/>
  <c r="Z54" i="9"/>
  <c r="X34" i="9"/>
  <c r="Y34" i="9" s="1"/>
  <c r="Z34" i="8"/>
  <c r="AA70" i="16"/>
  <c r="AA85" i="16"/>
  <c r="T17" i="14"/>
  <c r="H12" i="13"/>
  <c r="T39" i="20"/>
  <c r="H34" i="19"/>
  <c r="AA85" i="50"/>
  <c r="AA70" i="50"/>
  <c r="I61" i="16"/>
  <c r="U66" i="17"/>
  <c r="T35" i="16"/>
  <c r="H30" i="15"/>
  <c r="T50" i="13"/>
  <c r="H45" i="12"/>
  <c r="T36" i="15"/>
  <c r="H31" i="14"/>
  <c r="T58" i="20"/>
  <c r="H53" i="19"/>
  <c r="U50" i="33"/>
  <c r="I45" i="32"/>
  <c r="U67" i="12"/>
  <c r="I62" i="11"/>
  <c r="T61" i="21"/>
  <c r="H56" i="20"/>
  <c r="V56" i="13"/>
  <c r="R56" i="12"/>
  <c r="AA85" i="9"/>
  <c r="AA70" i="9"/>
  <c r="X22" i="8"/>
  <c r="Y22" i="8" s="1"/>
  <c r="Z22" i="7"/>
  <c r="I32" i="11"/>
  <c r="U37" i="12"/>
  <c r="X14" i="8"/>
  <c r="Y14" i="8" s="1"/>
  <c r="Z14" i="7"/>
  <c r="X55" i="10"/>
  <c r="Y55" i="10" s="1"/>
  <c r="Z55" i="9"/>
  <c r="T44" i="13"/>
  <c r="H39" i="12"/>
  <c r="R61" i="52"/>
  <c r="V61" i="53"/>
  <c r="V72" i="11"/>
  <c r="U73" i="11"/>
  <c r="R68" i="11"/>
  <c r="U74" i="11"/>
  <c r="X42" i="13"/>
  <c r="Y42" i="13" s="1"/>
  <c r="Z42" i="12"/>
  <c r="Y13" i="7"/>
  <c r="X68" i="7"/>
  <c r="X74" i="7" s="1"/>
  <c r="U52" i="17"/>
  <c r="I47" i="16"/>
  <c r="U25" i="15"/>
  <c r="I20" i="14"/>
  <c r="U17" i="14"/>
  <c r="I12" i="13"/>
  <c r="V12" i="24"/>
  <c r="R12" i="23"/>
  <c r="I22" i="12"/>
  <c r="U27" i="13"/>
  <c r="X64" i="8"/>
  <c r="Y64" i="8" s="1"/>
  <c r="Z64" i="7"/>
  <c r="U57" i="16"/>
  <c r="I52" i="15"/>
  <c r="I25" i="34"/>
  <c r="U30" i="35"/>
  <c r="T16" i="10"/>
  <c r="H11" i="9"/>
  <c r="V58" i="13"/>
  <c r="R58" i="12"/>
  <c r="X16" i="11"/>
  <c r="Y16" i="11" s="1"/>
  <c r="Z16" i="10"/>
  <c r="X21" i="10"/>
  <c r="Y21" i="10" s="1"/>
  <c r="Z21" i="9"/>
  <c r="X49" i="11"/>
  <c r="Y49" i="11" s="1"/>
  <c r="Z49" i="10"/>
  <c r="U26" i="22"/>
  <c r="I21" i="21"/>
  <c r="X26" i="14"/>
  <c r="Y26" i="14" s="1"/>
  <c r="Z26" i="13"/>
  <c r="I53" i="33"/>
  <c r="U58" i="34"/>
  <c r="T26" i="11"/>
  <c r="H21" i="10"/>
  <c r="T30" i="10"/>
  <c r="H25" i="9"/>
  <c r="I50" i="10"/>
  <c r="U55" i="11"/>
  <c r="I29" i="34"/>
  <c r="U34" i="35"/>
  <c r="AA85" i="30"/>
  <c r="AA70" i="30"/>
  <c r="V17" i="27"/>
  <c r="R17" i="26"/>
  <c r="Y12" i="9"/>
  <c r="V59" i="13"/>
  <c r="R59" i="12"/>
  <c r="T18" i="13"/>
  <c r="H13" i="12"/>
  <c r="U62" i="36"/>
  <c r="I57" i="35"/>
  <c r="X32" i="13"/>
  <c r="Y32" i="13" s="1"/>
  <c r="Z32" i="12"/>
  <c r="AA85" i="11"/>
  <c r="AA70" i="11"/>
  <c r="U38" i="16"/>
  <c r="I33" i="15"/>
  <c r="X23" i="8"/>
  <c r="Y23" i="8" s="1"/>
  <c r="Z23" i="7"/>
  <c r="I18" i="16"/>
  <c r="U23" i="17"/>
  <c r="T40" i="10"/>
  <c r="H35" i="9"/>
  <c r="T33" i="17"/>
  <c r="H28" i="16"/>
  <c r="T13" i="11"/>
  <c r="H8" i="10"/>
  <c r="U56" i="39"/>
  <c r="I51" i="38"/>
  <c r="T32" i="9"/>
  <c r="H27" i="8"/>
  <c r="V65" i="13"/>
  <c r="R65" i="12"/>
  <c r="Z65" i="12"/>
  <c r="T19" i="18"/>
  <c r="H14" i="17"/>
  <c r="T22" i="16"/>
  <c r="H17" i="15"/>
  <c r="T54" i="12"/>
  <c r="H49" i="11"/>
  <c r="U49" i="16"/>
  <c r="I44" i="15"/>
  <c r="X58" i="8"/>
  <c r="Y58" i="8" s="1"/>
  <c r="Z58" i="7"/>
  <c r="T57" i="20"/>
  <c r="H52" i="19"/>
  <c r="V43" i="26" l="1"/>
  <c r="R43" i="25"/>
  <c r="I31" i="33"/>
  <c r="U36" i="34"/>
  <c r="U24" i="35"/>
  <c r="I19" i="34"/>
  <c r="R30" i="53"/>
  <c r="V30" i="54"/>
  <c r="V64" i="25"/>
  <c r="R64" i="24"/>
  <c r="V25" i="39"/>
  <c r="R25" i="38"/>
  <c r="V57" i="54"/>
  <c r="R57" i="53"/>
  <c r="U32" i="25"/>
  <c r="I27" i="24"/>
  <c r="U60" i="25"/>
  <c r="I55" i="24"/>
  <c r="R14" i="24"/>
  <c r="V14" i="25"/>
  <c r="V37" i="25"/>
  <c r="R37" i="24"/>
  <c r="V32" i="25"/>
  <c r="R32" i="24"/>
  <c r="U20" i="35"/>
  <c r="I15" i="34"/>
  <c r="V27" i="27"/>
  <c r="R27" i="26"/>
  <c r="V39" i="26"/>
  <c r="R39" i="25"/>
  <c r="V26" i="31"/>
  <c r="R26" i="30"/>
  <c r="V40" i="54"/>
  <c r="R40" i="53"/>
  <c r="V38" i="38"/>
  <c r="R38" i="37"/>
  <c r="V50" i="38"/>
  <c r="R50" i="37"/>
  <c r="V16" i="25"/>
  <c r="R16" i="24"/>
  <c r="V34" i="30"/>
  <c r="R34" i="29"/>
  <c r="V54" i="25"/>
  <c r="R54" i="24"/>
  <c r="R31" i="50"/>
  <c r="V31" i="51"/>
  <c r="U54" i="35"/>
  <c r="I49" i="34"/>
  <c r="I9" i="34"/>
  <c r="U14" i="35"/>
  <c r="V15" i="28"/>
  <c r="R15" i="27"/>
  <c r="V51" i="30"/>
  <c r="R51" i="29"/>
  <c r="U16" i="25"/>
  <c r="I11" i="24"/>
  <c r="V21" i="25"/>
  <c r="R21" i="24"/>
  <c r="V18" i="27"/>
  <c r="R18" i="26"/>
  <c r="V41" i="49"/>
  <c r="R41" i="48"/>
  <c r="U13" i="50"/>
  <c r="I8" i="49"/>
  <c r="V20" i="52"/>
  <c r="R20" i="51"/>
  <c r="U44" i="36"/>
  <c r="I39" i="35"/>
  <c r="I45" i="33"/>
  <c r="U50" i="34"/>
  <c r="T19" i="19"/>
  <c r="H14" i="18"/>
  <c r="U38" i="17"/>
  <c r="I33" i="16"/>
  <c r="X34" i="10"/>
  <c r="Y34" i="10" s="1"/>
  <c r="Z34" i="9"/>
  <c r="X57" i="12"/>
  <c r="Y57" i="12" s="1"/>
  <c r="Z57" i="11"/>
  <c r="X33" i="9"/>
  <c r="Y33" i="9" s="1"/>
  <c r="Z33" i="8"/>
  <c r="X31" i="12"/>
  <c r="Y31" i="12" s="1"/>
  <c r="Z31" i="11"/>
  <c r="T55" i="26"/>
  <c r="H50" i="25"/>
  <c r="X72" i="22"/>
  <c r="Y72" i="22" s="1"/>
  <c r="AA77" i="21"/>
  <c r="AA79" i="21" s="1"/>
  <c r="I17" i="37"/>
  <c r="U22" i="38"/>
  <c r="X19" i="11"/>
  <c r="Y19" i="11" s="1"/>
  <c r="Z19" i="10"/>
  <c r="I52" i="16"/>
  <c r="U57" i="17"/>
  <c r="R12" i="24"/>
  <c r="V12" i="25"/>
  <c r="X13" i="8"/>
  <c r="Z13" i="7"/>
  <c r="Z68" i="7" s="1"/>
  <c r="Z74" i="7" s="1"/>
  <c r="Z70" i="7" s="1"/>
  <c r="Y68" i="7"/>
  <c r="V61" i="54"/>
  <c r="R61" i="53"/>
  <c r="U37" i="13"/>
  <c r="I32" i="12"/>
  <c r="V56" i="14"/>
  <c r="R56" i="13"/>
  <c r="T58" i="21"/>
  <c r="H53" i="20"/>
  <c r="X60" i="10"/>
  <c r="Y60" i="10" s="1"/>
  <c r="Z60" i="9"/>
  <c r="U33" i="15"/>
  <c r="I28" i="14"/>
  <c r="V53" i="54"/>
  <c r="R53" i="53"/>
  <c r="T14" i="17"/>
  <c r="H9" i="16"/>
  <c r="V55" i="35"/>
  <c r="R55" i="34"/>
  <c r="T52" i="14"/>
  <c r="H47" i="13"/>
  <c r="R62" i="52"/>
  <c r="V62" i="53"/>
  <c r="T43" i="17"/>
  <c r="H38" i="16"/>
  <c r="V66" i="14"/>
  <c r="R66" i="13"/>
  <c r="V67" i="14"/>
  <c r="R67" i="13"/>
  <c r="Z67" i="13"/>
  <c r="X44" i="10"/>
  <c r="Y44" i="10" s="1"/>
  <c r="Z44" i="9"/>
  <c r="X40" i="9"/>
  <c r="Y40" i="9" s="1"/>
  <c r="Z40" i="8"/>
  <c r="X61" i="10"/>
  <c r="Y61" i="10" s="1"/>
  <c r="Z61" i="9"/>
  <c r="AA81" i="20"/>
  <c r="AF16" i="20" s="1"/>
  <c r="AA80" i="21"/>
  <c r="V28" i="30"/>
  <c r="R28" i="29"/>
  <c r="X28" i="11"/>
  <c r="Y28" i="11" s="1"/>
  <c r="Z28" i="10"/>
  <c r="T32" i="10"/>
  <c r="H27" i="9"/>
  <c r="V17" i="28"/>
  <c r="R17" i="27"/>
  <c r="T28" i="16"/>
  <c r="H23" i="15"/>
  <c r="T63" i="26"/>
  <c r="H58" i="25"/>
  <c r="I44" i="16"/>
  <c r="U49" i="17"/>
  <c r="T40" i="11"/>
  <c r="H35" i="10"/>
  <c r="T26" i="12"/>
  <c r="H21" i="11"/>
  <c r="X26" i="15"/>
  <c r="Y26" i="15" s="1"/>
  <c r="Z26" i="14"/>
  <c r="T35" i="17"/>
  <c r="H30" i="16"/>
  <c r="X54" i="11"/>
  <c r="Y54" i="11" s="1"/>
  <c r="Z54" i="10"/>
  <c r="X51" i="11"/>
  <c r="Y51" i="11" s="1"/>
  <c r="Z51" i="10"/>
  <c r="X37" i="9"/>
  <c r="Y37" i="9" s="1"/>
  <c r="Z37" i="8"/>
  <c r="V23" i="54"/>
  <c r="R23" i="53"/>
  <c r="U42" i="15"/>
  <c r="I37" i="14"/>
  <c r="X43" i="11"/>
  <c r="Y43" i="11" s="1"/>
  <c r="Z43" i="10"/>
  <c r="U53" i="14"/>
  <c r="I48" i="13"/>
  <c r="T31" i="14"/>
  <c r="H26" i="13"/>
  <c r="T27" i="10"/>
  <c r="H22" i="9"/>
  <c r="T42" i="19"/>
  <c r="H37" i="18"/>
  <c r="X56" i="9"/>
  <c r="Y56" i="9" s="1"/>
  <c r="Z56" i="8"/>
  <c r="U59" i="19"/>
  <c r="I54" i="18"/>
  <c r="I46" i="12"/>
  <c r="U51" i="13"/>
  <c r="T30" i="11"/>
  <c r="H25" i="10"/>
  <c r="X14" i="9"/>
  <c r="Y14" i="9" s="1"/>
  <c r="Z14" i="8"/>
  <c r="U34" i="36"/>
  <c r="I29" i="35"/>
  <c r="U64" i="36"/>
  <c r="I59" i="35"/>
  <c r="R13" i="50"/>
  <c r="V13" i="51"/>
  <c r="T33" i="18"/>
  <c r="H28" i="17"/>
  <c r="X64" i="9"/>
  <c r="Y64" i="9" s="1"/>
  <c r="Z64" i="8"/>
  <c r="X42" i="14"/>
  <c r="Y42" i="14" s="1"/>
  <c r="Z42" i="13"/>
  <c r="V73" i="21"/>
  <c r="R73" i="20"/>
  <c r="Z73" i="20"/>
  <c r="X18" i="11"/>
  <c r="Y18" i="11" s="1"/>
  <c r="Z18" i="10"/>
  <c r="X59" i="10"/>
  <c r="Y59" i="10" s="1"/>
  <c r="Z59" i="9"/>
  <c r="T20" i="16"/>
  <c r="H15" i="15"/>
  <c r="V36" i="14"/>
  <c r="R36" i="13"/>
  <c r="R52" i="51"/>
  <c r="V52" i="52"/>
  <c r="X52" i="10"/>
  <c r="Y52" i="10" s="1"/>
  <c r="Z52" i="9"/>
  <c r="T51" i="13"/>
  <c r="H46" i="12"/>
  <c r="T54" i="13"/>
  <c r="H49" i="12"/>
  <c r="I51" i="39"/>
  <c r="U56" i="40"/>
  <c r="X32" i="14"/>
  <c r="Y32" i="14" s="1"/>
  <c r="Z32" i="13"/>
  <c r="U26" i="23"/>
  <c r="I21" i="22"/>
  <c r="U27" i="14"/>
  <c r="I22" i="13"/>
  <c r="T44" i="14"/>
  <c r="H39" i="13"/>
  <c r="X22" i="9"/>
  <c r="Y22" i="9" s="1"/>
  <c r="Z22" i="8"/>
  <c r="X41" i="10"/>
  <c r="Y41" i="10" s="1"/>
  <c r="Z41" i="9"/>
  <c r="U15" i="14"/>
  <c r="I10" i="13"/>
  <c r="V49" i="14"/>
  <c r="R49" i="13"/>
  <c r="X63" i="9"/>
  <c r="Y63" i="9" s="1"/>
  <c r="Z63" i="8"/>
  <c r="X25" i="9"/>
  <c r="Y25" i="9" s="1"/>
  <c r="Z25" i="8"/>
  <c r="U40" i="37"/>
  <c r="I35" i="36"/>
  <c r="X30" i="9"/>
  <c r="Y30" i="9" s="1"/>
  <c r="Z30" i="8"/>
  <c r="X53" i="10"/>
  <c r="Y53" i="10" s="1"/>
  <c r="Z53" i="9"/>
  <c r="X50" i="9"/>
  <c r="Y50" i="9" s="1"/>
  <c r="Z50" i="8"/>
  <c r="X36" i="11"/>
  <c r="Y36" i="11" s="1"/>
  <c r="Z36" i="10"/>
  <c r="X62" i="11"/>
  <c r="Y62" i="11" s="1"/>
  <c r="Z62" i="10"/>
  <c r="X20" i="16"/>
  <c r="Y20" i="16" s="1"/>
  <c r="Z20" i="15"/>
  <c r="V24" i="53"/>
  <c r="R24" i="52"/>
  <c r="V60" i="14"/>
  <c r="R60" i="13"/>
  <c r="H57" i="25"/>
  <c r="T62" i="26"/>
  <c r="U21" i="13"/>
  <c r="I16" i="12"/>
  <c r="T49" i="15"/>
  <c r="H44" i="14"/>
  <c r="T41" i="18"/>
  <c r="H36" i="17"/>
  <c r="U65" i="12"/>
  <c r="I60" i="11"/>
  <c r="V22" i="33"/>
  <c r="R22" i="32"/>
  <c r="X27" i="10"/>
  <c r="Y27" i="10" s="1"/>
  <c r="Z27" i="9"/>
  <c r="U66" i="18"/>
  <c r="I61" i="17"/>
  <c r="T57" i="21"/>
  <c r="H52" i="20"/>
  <c r="U23" i="18"/>
  <c r="I18" i="17"/>
  <c r="V59" i="14"/>
  <c r="R59" i="13"/>
  <c r="V58" i="14"/>
  <c r="R58" i="13"/>
  <c r="U17" i="15"/>
  <c r="I12" i="14"/>
  <c r="T36" i="16"/>
  <c r="H31" i="15"/>
  <c r="X58" i="9"/>
  <c r="Y58" i="9" s="1"/>
  <c r="Z58" i="8"/>
  <c r="X12" i="10"/>
  <c r="Z12" i="9"/>
  <c r="I50" i="11"/>
  <c r="U55" i="12"/>
  <c r="T16" i="11"/>
  <c r="H11" i="10"/>
  <c r="U25" i="16"/>
  <c r="I20" i="15"/>
  <c r="U67" i="13"/>
  <c r="I62" i="12"/>
  <c r="T50" i="14"/>
  <c r="H45" i="13"/>
  <c r="T39" i="21"/>
  <c r="H34" i="20"/>
  <c r="U35" i="14"/>
  <c r="I30" i="13"/>
  <c r="U43" i="14"/>
  <c r="I38" i="13"/>
  <c r="X29" i="9"/>
  <c r="Y29" i="9" s="1"/>
  <c r="Z29" i="8"/>
  <c r="T34" i="12"/>
  <c r="H29" i="11"/>
  <c r="T37" i="12"/>
  <c r="H32" i="11"/>
  <c r="T15" i="14"/>
  <c r="H10" i="13"/>
  <c r="T56" i="12"/>
  <c r="H51" i="11"/>
  <c r="T29" i="19"/>
  <c r="H24" i="18"/>
  <c r="U61" i="14"/>
  <c r="I56" i="13"/>
  <c r="T21" i="12"/>
  <c r="H16" i="11"/>
  <c r="I58" i="11"/>
  <c r="U63" i="12"/>
  <c r="T24" i="19"/>
  <c r="H19" i="18"/>
  <c r="R68" i="12"/>
  <c r="U73" i="12"/>
  <c r="V72" i="12"/>
  <c r="U74" i="12"/>
  <c r="U58" i="35"/>
  <c r="I53" i="34"/>
  <c r="U52" i="18"/>
  <c r="I47" i="17"/>
  <c r="T18" i="14"/>
  <c r="H13" i="13"/>
  <c r="X16" i="12"/>
  <c r="Y16" i="12" s="1"/>
  <c r="Z16" i="11"/>
  <c r="T61" i="22"/>
  <c r="H56" i="21"/>
  <c r="V78" i="5"/>
  <c r="V79" i="5" s="1"/>
  <c r="Y70" i="5"/>
  <c r="AA84" i="5"/>
  <c r="AA86" i="5" s="1"/>
  <c r="I7" i="46"/>
  <c r="U12" i="47"/>
  <c r="T25" i="15"/>
  <c r="H20" i="14"/>
  <c r="T22" i="17"/>
  <c r="H17" i="16"/>
  <c r="V65" i="14"/>
  <c r="R65" i="13"/>
  <c r="Z65" i="13"/>
  <c r="T13" i="12"/>
  <c r="H8" i="11"/>
  <c r="X23" i="9"/>
  <c r="Y23" i="9" s="1"/>
  <c r="Z23" i="8"/>
  <c r="U62" i="37"/>
  <c r="I57" i="36"/>
  <c r="X49" i="12"/>
  <c r="Y49" i="12" s="1"/>
  <c r="Z49" i="11"/>
  <c r="X21" i="11"/>
  <c r="Y21" i="11" s="1"/>
  <c r="Z21" i="10"/>
  <c r="U30" i="36"/>
  <c r="I25" i="35"/>
  <c r="X55" i="11"/>
  <c r="Y55" i="11" s="1"/>
  <c r="Z55" i="10"/>
  <c r="X24" i="12"/>
  <c r="Y24" i="12" s="1"/>
  <c r="Z24" i="11"/>
  <c r="U18" i="18"/>
  <c r="I13" i="17"/>
  <c r="X15" i="9"/>
  <c r="Y15" i="9" s="1"/>
  <c r="Z15" i="8"/>
  <c r="T64" i="12"/>
  <c r="H59" i="11"/>
  <c r="T12" i="15"/>
  <c r="H7" i="14"/>
  <c r="U31" i="14"/>
  <c r="I26" i="13"/>
  <c r="U41" i="13"/>
  <c r="I36" i="12"/>
  <c r="X38" i="9"/>
  <c r="Y38" i="9" s="1"/>
  <c r="Z38" i="8"/>
  <c r="U39" i="18"/>
  <c r="I34" i="17"/>
  <c r="X17" i="9"/>
  <c r="Y17" i="9" s="1"/>
  <c r="Z17" i="8"/>
  <c r="U28" i="14"/>
  <c r="I23" i="13"/>
  <c r="T59" i="20"/>
  <c r="H54" i="19"/>
  <c r="V44" i="53"/>
  <c r="R44" i="52"/>
  <c r="I14" i="12"/>
  <c r="U19" i="13"/>
  <c r="X35" i="10"/>
  <c r="Y35" i="10" s="1"/>
  <c r="Z35" i="9"/>
  <c r="U72" i="11"/>
  <c r="V70" i="11"/>
  <c r="Z72" i="11"/>
  <c r="T17" i="15"/>
  <c r="H12" i="14"/>
  <c r="X66" i="9"/>
  <c r="Y66" i="9" s="1"/>
  <c r="Z66" i="8"/>
  <c r="U29" i="13"/>
  <c r="I24" i="12"/>
  <c r="V63" i="14"/>
  <c r="R63" i="13"/>
  <c r="X39" i="11"/>
  <c r="Y39" i="11" s="1"/>
  <c r="Z39" i="10"/>
  <c r="T60" i="14"/>
  <c r="H55" i="13"/>
  <c r="T23" i="13"/>
  <c r="H18" i="12"/>
  <c r="T38" i="17"/>
  <c r="H33" i="16"/>
  <c r="R19" i="52"/>
  <c r="V19" i="53"/>
  <c r="T53" i="13"/>
  <c r="H48" i="12"/>
  <c r="V42" i="21"/>
  <c r="R42" i="20"/>
  <c r="V33" i="23"/>
  <c r="R33" i="22"/>
  <c r="V29" i="14"/>
  <c r="R29" i="13"/>
  <c r="V68" i="13"/>
  <c r="U13" i="51" l="1"/>
  <c r="I8" i="50"/>
  <c r="V32" i="26"/>
  <c r="R32" i="25"/>
  <c r="V31" i="52"/>
  <c r="R31" i="51"/>
  <c r="U16" i="26"/>
  <c r="I11" i="25"/>
  <c r="V26" i="32"/>
  <c r="R26" i="31"/>
  <c r="R41" i="49"/>
  <c r="V41" i="50"/>
  <c r="R51" i="30"/>
  <c r="V51" i="31"/>
  <c r="V50" i="39"/>
  <c r="R50" i="38"/>
  <c r="V39" i="27"/>
  <c r="R39" i="26"/>
  <c r="V37" i="26"/>
  <c r="R37" i="25"/>
  <c r="V57" i="55"/>
  <c r="R57" i="54"/>
  <c r="I19" i="35"/>
  <c r="U24" i="36"/>
  <c r="V30" i="55"/>
  <c r="R30" i="54"/>
  <c r="V16" i="26"/>
  <c r="R16" i="25"/>
  <c r="V14" i="26"/>
  <c r="R14" i="25"/>
  <c r="U36" i="35"/>
  <c r="I31" i="34"/>
  <c r="U44" i="37"/>
  <c r="I39" i="36"/>
  <c r="V18" i="28"/>
  <c r="R18" i="27"/>
  <c r="V15" i="29"/>
  <c r="R15" i="28"/>
  <c r="V54" i="26"/>
  <c r="R54" i="25"/>
  <c r="V38" i="39"/>
  <c r="R38" i="38"/>
  <c r="V27" i="28"/>
  <c r="R27" i="27"/>
  <c r="V25" i="40"/>
  <c r="R25" i="39"/>
  <c r="U54" i="36"/>
  <c r="I49" i="35"/>
  <c r="U14" i="36"/>
  <c r="I9" i="35"/>
  <c r="U32" i="26"/>
  <c r="I27" i="25"/>
  <c r="V20" i="53"/>
  <c r="R20" i="52"/>
  <c r="V21" i="26"/>
  <c r="R21" i="25"/>
  <c r="V34" i="31"/>
  <c r="R34" i="30"/>
  <c r="V40" i="55"/>
  <c r="R40" i="54"/>
  <c r="U20" i="36"/>
  <c r="I15" i="35"/>
  <c r="U60" i="26"/>
  <c r="I55" i="25"/>
  <c r="V64" i="26"/>
  <c r="R64" i="25"/>
  <c r="V43" i="27"/>
  <c r="R43" i="26"/>
  <c r="V44" i="54"/>
  <c r="R44" i="53"/>
  <c r="U30" i="37"/>
  <c r="I25" i="36"/>
  <c r="V65" i="15"/>
  <c r="R65" i="14"/>
  <c r="Z65" i="14"/>
  <c r="T21" i="13"/>
  <c r="H16" i="12"/>
  <c r="T56" i="13"/>
  <c r="H51" i="12"/>
  <c r="X29" i="10"/>
  <c r="Y29" i="10" s="1"/>
  <c r="Z29" i="9"/>
  <c r="X58" i="10"/>
  <c r="Y58" i="10" s="1"/>
  <c r="Z58" i="9"/>
  <c r="V22" i="34"/>
  <c r="R22" i="33"/>
  <c r="U21" i="14"/>
  <c r="I16" i="13"/>
  <c r="V24" i="54"/>
  <c r="R24" i="53"/>
  <c r="X63" i="10"/>
  <c r="Y63" i="10" s="1"/>
  <c r="Z63" i="9"/>
  <c r="T54" i="14"/>
  <c r="H49" i="13"/>
  <c r="X42" i="15"/>
  <c r="Y42" i="15" s="1"/>
  <c r="Z42" i="14"/>
  <c r="T31" i="15"/>
  <c r="H26" i="14"/>
  <c r="X43" i="12"/>
  <c r="Y43" i="12" s="1"/>
  <c r="Z43" i="11"/>
  <c r="T32" i="11"/>
  <c r="H27" i="10"/>
  <c r="V28" i="31"/>
  <c r="R28" i="30"/>
  <c r="X44" i="11"/>
  <c r="Y44" i="11" s="1"/>
  <c r="Z44" i="10"/>
  <c r="T52" i="15"/>
  <c r="H47" i="14"/>
  <c r="U33" i="16"/>
  <c r="I28" i="15"/>
  <c r="U37" i="14"/>
  <c r="I32" i="13"/>
  <c r="AA81" i="21"/>
  <c r="AA80" i="22"/>
  <c r="X31" i="13"/>
  <c r="Y31" i="13" s="1"/>
  <c r="Z31" i="12"/>
  <c r="T23" i="14"/>
  <c r="H18" i="13"/>
  <c r="T17" i="16"/>
  <c r="H12" i="15"/>
  <c r="X35" i="11"/>
  <c r="Y35" i="11" s="1"/>
  <c r="Z35" i="10"/>
  <c r="U62" i="38"/>
  <c r="I57" i="37"/>
  <c r="U52" i="19"/>
  <c r="I47" i="18"/>
  <c r="T24" i="20"/>
  <c r="H19" i="19"/>
  <c r="T16" i="12"/>
  <c r="H11" i="11"/>
  <c r="T57" i="22"/>
  <c r="H52" i="21"/>
  <c r="H57" i="26"/>
  <c r="T62" i="27"/>
  <c r="X36" i="12"/>
  <c r="Y36" i="12" s="1"/>
  <c r="Z36" i="11"/>
  <c r="X22" i="10"/>
  <c r="Y22" i="10" s="1"/>
  <c r="Z22" i="9"/>
  <c r="T30" i="12"/>
  <c r="H25" i="11"/>
  <c r="X51" i="12"/>
  <c r="Y51" i="12" s="1"/>
  <c r="Z51" i="11"/>
  <c r="T26" i="13"/>
  <c r="H21" i="12"/>
  <c r="T63" i="27"/>
  <c r="H58" i="26"/>
  <c r="V66" i="15"/>
  <c r="R66" i="14"/>
  <c r="V12" i="26"/>
  <c r="R12" i="25"/>
  <c r="X72" i="23"/>
  <c r="Y72" i="23" s="1"/>
  <c r="AA77" i="22"/>
  <c r="AA79" i="22" s="1"/>
  <c r="X34" i="11"/>
  <c r="Y34" i="11" s="1"/>
  <c r="Z34" i="10"/>
  <c r="I13" i="18"/>
  <c r="U18" i="19"/>
  <c r="T59" i="21"/>
  <c r="H54" i="20"/>
  <c r="X21" i="12"/>
  <c r="Y21" i="12" s="1"/>
  <c r="Z21" i="11"/>
  <c r="U61" i="15"/>
  <c r="I56" i="14"/>
  <c r="U43" i="15"/>
  <c r="I38" i="14"/>
  <c r="V59" i="15"/>
  <c r="R59" i="14"/>
  <c r="X20" i="17"/>
  <c r="Y20" i="17" s="1"/>
  <c r="Z20" i="16"/>
  <c r="X18" i="12"/>
  <c r="Y18" i="12" s="1"/>
  <c r="Z18" i="11"/>
  <c r="U42" i="16"/>
  <c r="I37" i="15"/>
  <c r="X60" i="11"/>
  <c r="Y60" i="11" s="1"/>
  <c r="Z60" i="10"/>
  <c r="V63" i="15"/>
  <c r="R63" i="14"/>
  <c r="X23" i="10"/>
  <c r="Y23" i="10" s="1"/>
  <c r="Z23" i="9"/>
  <c r="T61" i="23"/>
  <c r="H56" i="22"/>
  <c r="U58" i="36"/>
  <c r="I53" i="35"/>
  <c r="T50" i="15"/>
  <c r="H45" i="14"/>
  <c r="U66" i="19"/>
  <c r="I61" i="18"/>
  <c r="X50" i="10"/>
  <c r="Y50" i="10" s="1"/>
  <c r="Z50" i="9"/>
  <c r="V49" i="15"/>
  <c r="R49" i="14"/>
  <c r="T44" i="15"/>
  <c r="H39" i="14"/>
  <c r="U64" i="37"/>
  <c r="I59" i="36"/>
  <c r="X54" i="12"/>
  <c r="Y54" i="12" s="1"/>
  <c r="Z54" i="11"/>
  <c r="T40" i="12"/>
  <c r="H35" i="11"/>
  <c r="T28" i="17"/>
  <c r="H23" i="16"/>
  <c r="V67" i="15"/>
  <c r="R67" i="14"/>
  <c r="Z67" i="14"/>
  <c r="T43" i="18"/>
  <c r="H38" i="17"/>
  <c r="V55" i="36"/>
  <c r="R55" i="35"/>
  <c r="T14" i="18"/>
  <c r="H9" i="17"/>
  <c r="T58" i="22"/>
  <c r="H53" i="21"/>
  <c r="V61" i="55"/>
  <c r="R61" i="54"/>
  <c r="U57" i="18"/>
  <c r="I52" i="17"/>
  <c r="T55" i="27"/>
  <c r="H50" i="26"/>
  <c r="U38" i="18"/>
  <c r="I33" i="17"/>
  <c r="V33" i="24"/>
  <c r="R33" i="23"/>
  <c r="X24" i="13"/>
  <c r="Y24" i="13" s="1"/>
  <c r="Z24" i="12"/>
  <c r="U63" i="13"/>
  <c r="I58" i="12"/>
  <c r="U65" i="13"/>
  <c r="I60" i="12"/>
  <c r="U26" i="24"/>
  <c r="I21" i="23"/>
  <c r="X64" i="10"/>
  <c r="Y64" i="10" s="1"/>
  <c r="Z64" i="9"/>
  <c r="U53" i="15"/>
  <c r="I48" i="14"/>
  <c r="V19" i="54"/>
  <c r="R19" i="53"/>
  <c r="U28" i="15"/>
  <c r="I23" i="14"/>
  <c r="T41" i="19"/>
  <c r="H36" i="18"/>
  <c r="U40" i="38"/>
  <c r="I35" i="37"/>
  <c r="X52" i="11"/>
  <c r="Y52" i="11" s="1"/>
  <c r="Z52" i="10"/>
  <c r="X61" i="11"/>
  <c r="Y61" i="11" s="1"/>
  <c r="Z61" i="10"/>
  <c r="AG27" i="7"/>
  <c r="Y74" i="7"/>
  <c r="X19" i="12"/>
  <c r="Y19" i="12" s="1"/>
  <c r="Z19" i="11"/>
  <c r="U39" i="19"/>
  <c r="I34" i="18"/>
  <c r="X38" i="10"/>
  <c r="Y38" i="10" s="1"/>
  <c r="Z38" i="9"/>
  <c r="T36" i="17"/>
  <c r="H31" i="16"/>
  <c r="V36" i="15"/>
  <c r="R36" i="14"/>
  <c r="U51" i="14"/>
  <c r="I46" i="13"/>
  <c r="T64" i="13"/>
  <c r="H59" i="12"/>
  <c r="X49" i="13"/>
  <c r="Y49" i="13" s="1"/>
  <c r="Z49" i="12"/>
  <c r="T37" i="13"/>
  <c r="H32" i="12"/>
  <c r="U23" i="19"/>
  <c r="I18" i="18"/>
  <c r="X32" i="15"/>
  <c r="Y32" i="15" s="1"/>
  <c r="Z32" i="14"/>
  <c r="T20" i="17"/>
  <c r="H15" i="16"/>
  <c r="T33" i="19"/>
  <c r="H28" i="18"/>
  <c r="V42" i="22"/>
  <c r="R42" i="21"/>
  <c r="I24" i="13"/>
  <c r="U29" i="14"/>
  <c r="T13" i="13"/>
  <c r="H8" i="12"/>
  <c r="U12" i="48"/>
  <c r="I7" i="47"/>
  <c r="X16" i="13"/>
  <c r="Y16" i="13" s="1"/>
  <c r="Z16" i="12"/>
  <c r="V70" i="12"/>
  <c r="U72" i="12"/>
  <c r="Z72" i="12"/>
  <c r="U67" i="14"/>
  <c r="I62" i="13"/>
  <c r="X27" i="11"/>
  <c r="Y27" i="11" s="1"/>
  <c r="Z27" i="10"/>
  <c r="V60" i="15"/>
  <c r="R60" i="14"/>
  <c r="X53" i="11"/>
  <c r="Y53" i="11" s="1"/>
  <c r="Z53" i="10"/>
  <c r="U15" i="15"/>
  <c r="I10" i="14"/>
  <c r="U27" i="15"/>
  <c r="I22" i="14"/>
  <c r="U56" i="46"/>
  <c r="I51" i="40"/>
  <c r="I29" i="36"/>
  <c r="U34" i="37"/>
  <c r="U59" i="20"/>
  <c r="I54" i="19"/>
  <c r="V23" i="55"/>
  <c r="R23" i="54"/>
  <c r="T35" i="18"/>
  <c r="H30" i="17"/>
  <c r="X28" i="12"/>
  <c r="Y28" i="12" s="1"/>
  <c r="Z28" i="11"/>
  <c r="R62" i="53"/>
  <c r="V62" i="54"/>
  <c r="I17" i="38"/>
  <c r="U22" i="39"/>
  <c r="X33" i="10"/>
  <c r="Y33" i="10" s="1"/>
  <c r="Z33" i="9"/>
  <c r="T19" i="20"/>
  <c r="H14" i="19"/>
  <c r="X39" i="12"/>
  <c r="Y39" i="12" s="1"/>
  <c r="Z39" i="11"/>
  <c r="T12" i="16"/>
  <c r="H7" i="15"/>
  <c r="T22" i="18"/>
  <c r="H17" i="17"/>
  <c r="T15" i="15"/>
  <c r="H10" i="14"/>
  <c r="U55" i="13"/>
  <c r="I50" i="12"/>
  <c r="T51" i="14"/>
  <c r="H46" i="13"/>
  <c r="U74" i="13"/>
  <c r="U73" i="13"/>
  <c r="R68" i="13"/>
  <c r="V72" i="13"/>
  <c r="U19" i="14"/>
  <c r="I14" i="13"/>
  <c r="I36" i="13"/>
  <c r="U41" i="14"/>
  <c r="T25" i="16"/>
  <c r="H20" i="15"/>
  <c r="U35" i="15"/>
  <c r="I30" i="14"/>
  <c r="U17" i="16"/>
  <c r="I12" i="15"/>
  <c r="X62" i="12"/>
  <c r="Y62" i="12" s="1"/>
  <c r="Z62" i="11"/>
  <c r="T42" i="20"/>
  <c r="H37" i="19"/>
  <c r="V29" i="15"/>
  <c r="R29" i="14"/>
  <c r="V68" i="14"/>
  <c r="T60" i="15"/>
  <c r="H55" i="14"/>
  <c r="X17" i="10"/>
  <c r="Y17" i="10" s="1"/>
  <c r="Z17" i="9"/>
  <c r="U31" i="15"/>
  <c r="I26" i="14"/>
  <c r="X15" i="10"/>
  <c r="Y15" i="10" s="1"/>
  <c r="Z15" i="9"/>
  <c r="X55" i="12"/>
  <c r="Y55" i="12" s="1"/>
  <c r="Z55" i="11"/>
  <c r="T29" i="20"/>
  <c r="H24" i="19"/>
  <c r="T34" i="13"/>
  <c r="H29" i="12"/>
  <c r="T39" i="22"/>
  <c r="H34" i="21"/>
  <c r="Y12" i="10"/>
  <c r="T49" i="16"/>
  <c r="H44" i="15"/>
  <c r="X25" i="10"/>
  <c r="Y25" i="10" s="1"/>
  <c r="Z25" i="9"/>
  <c r="V52" i="53"/>
  <c r="R52" i="52"/>
  <c r="X59" i="11"/>
  <c r="Y59" i="11" s="1"/>
  <c r="Z59" i="10"/>
  <c r="V73" i="22"/>
  <c r="R73" i="21"/>
  <c r="Z73" i="21"/>
  <c r="V13" i="52"/>
  <c r="R13" i="51"/>
  <c r="T27" i="11"/>
  <c r="H22" i="10"/>
  <c r="U49" i="18"/>
  <c r="I44" i="17"/>
  <c r="V17" i="29"/>
  <c r="R17" i="28"/>
  <c r="X40" i="10"/>
  <c r="Y40" i="10" s="1"/>
  <c r="Z40" i="9"/>
  <c r="V53" i="55"/>
  <c r="R53" i="54"/>
  <c r="V56" i="15"/>
  <c r="R56" i="14"/>
  <c r="Y13" i="8"/>
  <c r="X68" i="8"/>
  <c r="X74" i="8" s="1"/>
  <c r="I45" i="34"/>
  <c r="U50" i="35"/>
  <c r="T53" i="14"/>
  <c r="H48" i="13"/>
  <c r="T38" i="18"/>
  <c r="H33" i="17"/>
  <c r="X66" i="10"/>
  <c r="Y66" i="10" s="1"/>
  <c r="Z66" i="9"/>
  <c r="AA87" i="7"/>
  <c r="AA88" i="5"/>
  <c r="AF14" i="5" s="1"/>
  <c r="T18" i="15"/>
  <c r="H13" i="14"/>
  <c r="U25" i="17"/>
  <c r="I20" i="16"/>
  <c r="V58" i="15"/>
  <c r="R58" i="14"/>
  <c r="X30" i="10"/>
  <c r="Y30" i="10" s="1"/>
  <c r="Z30" i="9"/>
  <c r="X41" i="11"/>
  <c r="Y41" i="11" s="1"/>
  <c r="Z41" i="10"/>
  <c r="X14" i="10"/>
  <c r="Y14" i="10" s="1"/>
  <c r="Z14" i="9"/>
  <c r="X56" i="10"/>
  <c r="Y56" i="10" s="1"/>
  <c r="Z56" i="9"/>
  <c r="X37" i="10"/>
  <c r="Y37" i="10" s="1"/>
  <c r="Z37" i="9"/>
  <c r="X26" i="16"/>
  <c r="Y26" i="16" s="1"/>
  <c r="Z26" i="15"/>
  <c r="X57" i="13"/>
  <c r="Y57" i="13" s="1"/>
  <c r="Z57" i="12"/>
  <c r="U24" i="37" l="1"/>
  <c r="I19" i="36"/>
  <c r="U60" i="27"/>
  <c r="I55" i="26"/>
  <c r="V54" i="27"/>
  <c r="R54" i="26"/>
  <c r="V51" i="32"/>
  <c r="R51" i="31"/>
  <c r="I31" i="35"/>
  <c r="U36" i="36"/>
  <c r="U20" i="37"/>
  <c r="I15" i="36"/>
  <c r="V20" i="54"/>
  <c r="R20" i="53"/>
  <c r="V25" i="46"/>
  <c r="R25" i="40"/>
  <c r="V15" i="30"/>
  <c r="R15" i="29"/>
  <c r="V14" i="27"/>
  <c r="R14" i="26"/>
  <c r="V57" i="56"/>
  <c r="R57" i="55"/>
  <c r="V31" i="53"/>
  <c r="R31" i="52"/>
  <c r="V41" i="51"/>
  <c r="R41" i="50"/>
  <c r="V50" i="40"/>
  <c r="R50" i="39"/>
  <c r="V43" i="28"/>
  <c r="R43" i="27"/>
  <c r="V40" i="56"/>
  <c r="R40" i="55"/>
  <c r="U32" i="27"/>
  <c r="I27" i="26"/>
  <c r="V27" i="29"/>
  <c r="R27" i="28"/>
  <c r="V18" i="29"/>
  <c r="R18" i="28"/>
  <c r="V16" i="27"/>
  <c r="R16" i="26"/>
  <c r="V37" i="27"/>
  <c r="R37" i="26"/>
  <c r="V32" i="27"/>
  <c r="R32" i="26"/>
  <c r="V21" i="27"/>
  <c r="R21" i="26"/>
  <c r="U16" i="27"/>
  <c r="I11" i="26"/>
  <c r="U54" i="37"/>
  <c r="I49" i="36"/>
  <c r="V64" i="27"/>
  <c r="R64" i="26"/>
  <c r="V34" i="32"/>
  <c r="R34" i="31"/>
  <c r="U14" i="37"/>
  <c r="I9" i="36"/>
  <c r="V38" i="40"/>
  <c r="R38" i="39"/>
  <c r="U44" i="38"/>
  <c r="I39" i="37"/>
  <c r="R30" i="55"/>
  <c r="V30" i="56"/>
  <c r="V39" i="28"/>
  <c r="R39" i="27"/>
  <c r="V26" i="33"/>
  <c r="R26" i="32"/>
  <c r="U13" i="52"/>
  <c r="I8" i="51"/>
  <c r="X40" i="11"/>
  <c r="Y40" i="11" s="1"/>
  <c r="Z40" i="10"/>
  <c r="V73" i="23"/>
  <c r="R73" i="22"/>
  <c r="Z73" i="22"/>
  <c r="X53" i="12"/>
  <c r="Y53" i="12" s="1"/>
  <c r="Z53" i="11"/>
  <c r="T13" i="14"/>
  <c r="H8" i="13"/>
  <c r="X23" i="11"/>
  <c r="Y23" i="11" s="1"/>
  <c r="Z23" i="10"/>
  <c r="X18" i="13"/>
  <c r="Y18" i="13" s="1"/>
  <c r="Z18" i="12"/>
  <c r="T63" i="28"/>
  <c r="H58" i="27"/>
  <c r="T16" i="13"/>
  <c r="H11" i="12"/>
  <c r="X35" i="12"/>
  <c r="Y35" i="12" s="1"/>
  <c r="Z35" i="11"/>
  <c r="X57" i="14"/>
  <c r="Y57" i="14" s="1"/>
  <c r="Z57" i="13"/>
  <c r="X56" i="11"/>
  <c r="Y56" i="11" s="1"/>
  <c r="Z56" i="10"/>
  <c r="T18" i="16"/>
  <c r="H13" i="15"/>
  <c r="T27" i="12"/>
  <c r="H22" i="11"/>
  <c r="X17" i="11"/>
  <c r="Y17" i="11" s="1"/>
  <c r="Z17" i="10"/>
  <c r="T42" i="21"/>
  <c r="H37" i="20"/>
  <c r="U19" i="15"/>
  <c r="I14" i="14"/>
  <c r="X33" i="11"/>
  <c r="Y33" i="11" s="1"/>
  <c r="Z33" i="10"/>
  <c r="T35" i="19"/>
  <c r="H30" i="18"/>
  <c r="I24" i="14"/>
  <c r="U29" i="15"/>
  <c r="H28" i="19"/>
  <c r="T33" i="20"/>
  <c r="U39" i="20"/>
  <c r="I34" i="19"/>
  <c r="X52" i="12"/>
  <c r="Y52" i="12" s="1"/>
  <c r="Z52" i="11"/>
  <c r="X24" i="14"/>
  <c r="Y24" i="14" s="1"/>
  <c r="Z24" i="13"/>
  <c r="T43" i="19"/>
  <c r="H38" i="18"/>
  <c r="H23" i="17"/>
  <c r="T28" i="18"/>
  <c r="T44" i="16"/>
  <c r="H39" i="15"/>
  <c r="U61" i="16"/>
  <c r="I56" i="15"/>
  <c r="X34" i="12"/>
  <c r="Y34" i="12" s="1"/>
  <c r="Z34" i="11"/>
  <c r="X31" i="14"/>
  <c r="Y31" i="14" s="1"/>
  <c r="Z31" i="13"/>
  <c r="V28" i="32"/>
  <c r="R28" i="31"/>
  <c r="I16" i="14"/>
  <c r="U21" i="15"/>
  <c r="X30" i="11"/>
  <c r="Y30" i="11" s="1"/>
  <c r="Z30" i="10"/>
  <c r="T39" i="23"/>
  <c r="H34" i="22"/>
  <c r="T22" i="19"/>
  <c r="H17" i="18"/>
  <c r="I46" i="14"/>
  <c r="U51" i="15"/>
  <c r="U26" i="25"/>
  <c r="I21" i="24"/>
  <c r="V61" i="56"/>
  <c r="R61" i="55"/>
  <c r="I61" i="19"/>
  <c r="U66" i="20"/>
  <c r="V12" i="27"/>
  <c r="R12" i="26"/>
  <c r="X22" i="11"/>
  <c r="Y22" i="11" s="1"/>
  <c r="Z22" i="10"/>
  <c r="X66" i="11"/>
  <c r="Y66" i="11" s="1"/>
  <c r="Z66" i="10"/>
  <c r="X59" i="12"/>
  <c r="Y59" i="12" s="1"/>
  <c r="Z59" i="11"/>
  <c r="T34" i="14"/>
  <c r="H29" i="13"/>
  <c r="H46" i="14"/>
  <c r="T51" i="15"/>
  <c r="T12" i="17"/>
  <c r="H7" i="16"/>
  <c r="U22" i="40"/>
  <c r="I17" i="39"/>
  <c r="V62" i="55"/>
  <c r="R62" i="54"/>
  <c r="U56" i="47"/>
  <c r="I51" i="46"/>
  <c r="T37" i="14"/>
  <c r="H32" i="13"/>
  <c r="V19" i="55"/>
  <c r="R19" i="54"/>
  <c r="T58" i="23"/>
  <c r="H53" i="22"/>
  <c r="T50" i="16"/>
  <c r="H45" i="15"/>
  <c r="X60" i="12"/>
  <c r="Y60" i="12" s="1"/>
  <c r="Z60" i="11"/>
  <c r="X20" i="18"/>
  <c r="Y20" i="18" s="1"/>
  <c r="Z20" i="17"/>
  <c r="AA81" i="22"/>
  <c r="AF16" i="22" s="1"/>
  <c r="AA80" i="23"/>
  <c r="T26" i="14"/>
  <c r="H21" i="13"/>
  <c r="X36" i="13"/>
  <c r="Y36" i="13" s="1"/>
  <c r="Z36" i="12"/>
  <c r="T24" i="21"/>
  <c r="H19" i="20"/>
  <c r="T17" i="17"/>
  <c r="H12" i="16"/>
  <c r="U33" i="17"/>
  <c r="I28" i="16"/>
  <c r="V65" i="16"/>
  <c r="R65" i="15"/>
  <c r="Z65" i="15"/>
  <c r="X37" i="11"/>
  <c r="Y37" i="11" s="1"/>
  <c r="Z37" i="10"/>
  <c r="V53" i="56"/>
  <c r="R53" i="55"/>
  <c r="T60" i="16"/>
  <c r="H55" i="15"/>
  <c r="V36" i="16"/>
  <c r="R36" i="15"/>
  <c r="I35" i="38"/>
  <c r="U40" i="39"/>
  <c r="T62" i="28"/>
  <c r="H57" i="27"/>
  <c r="T32" i="12"/>
  <c r="H27" i="11"/>
  <c r="X42" i="16"/>
  <c r="Y42" i="16" s="1"/>
  <c r="Z42" i="15"/>
  <c r="T38" i="19"/>
  <c r="H33" i="18"/>
  <c r="R13" i="52"/>
  <c r="V13" i="53"/>
  <c r="T49" i="17"/>
  <c r="H44" i="16"/>
  <c r="T29" i="21"/>
  <c r="H24" i="20"/>
  <c r="U55" i="14"/>
  <c r="I50" i="13"/>
  <c r="R23" i="55"/>
  <c r="V23" i="56"/>
  <c r="U27" i="16"/>
  <c r="I22" i="15"/>
  <c r="X16" i="14"/>
  <c r="Y16" i="14" s="1"/>
  <c r="Z16" i="13"/>
  <c r="X49" i="14"/>
  <c r="Y49" i="14" s="1"/>
  <c r="Z49" i="13"/>
  <c r="AA84" i="7"/>
  <c r="AA86" i="7" s="1"/>
  <c r="Y70" i="7"/>
  <c r="V78" i="7"/>
  <c r="V79" i="7" s="1"/>
  <c r="U53" i="16"/>
  <c r="I48" i="15"/>
  <c r="V33" i="25"/>
  <c r="R33" i="24"/>
  <c r="T14" i="19"/>
  <c r="H9" i="18"/>
  <c r="V67" i="16"/>
  <c r="R67" i="15"/>
  <c r="Z67" i="15"/>
  <c r="V49" i="16"/>
  <c r="R49" i="15"/>
  <c r="U58" i="37"/>
  <c r="I53" i="36"/>
  <c r="U42" i="17"/>
  <c r="I37" i="16"/>
  <c r="X72" i="24"/>
  <c r="Y72" i="24" s="1"/>
  <c r="AA77" i="23"/>
  <c r="AA79" i="23" s="1"/>
  <c r="X51" i="13"/>
  <c r="Y51" i="13" s="1"/>
  <c r="Z51" i="12"/>
  <c r="U52" i="20"/>
  <c r="I47" i="19"/>
  <c r="T23" i="15"/>
  <c r="H18" i="14"/>
  <c r="T52" i="16"/>
  <c r="H47" i="15"/>
  <c r="X63" i="11"/>
  <c r="Y63" i="11" s="1"/>
  <c r="Z63" i="10"/>
  <c r="V22" i="35"/>
  <c r="R22" i="34"/>
  <c r="I25" i="37"/>
  <c r="U30" i="38"/>
  <c r="U25" i="18"/>
  <c r="I20" i="17"/>
  <c r="V56" i="16"/>
  <c r="R56" i="15"/>
  <c r="V17" i="30"/>
  <c r="R17" i="29"/>
  <c r="X55" i="13"/>
  <c r="Y55" i="13" s="1"/>
  <c r="Z55" i="12"/>
  <c r="T25" i="17"/>
  <c r="H20" i="16"/>
  <c r="V60" i="16"/>
  <c r="R60" i="15"/>
  <c r="T20" i="18"/>
  <c r="H15" i="17"/>
  <c r="X19" i="13"/>
  <c r="Y19" i="13" s="1"/>
  <c r="Z19" i="12"/>
  <c r="T55" i="28"/>
  <c r="H50" i="27"/>
  <c r="X41" i="12"/>
  <c r="Y41" i="12" s="1"/>
  <c r="Z41" i="11"/>
  <c r="X13" i="9"/>
  <c r="Z13" i="8"/>
  <c r="Z68" i="8" s="1"/>
  <c r="Z74" i="8" s="1"/>
  <c r="Z70" i="8" s="1"/>
  <c r="Y68" i="8"/>
  <c r="U49" i="19"/>
  <c r="I44" i="18"/>
  <c r="R52" i="53"/>
  <c r="V52" i="54"/>
  <c r="X15" i="11"/>
  <c r="Y15" i="11" s="1"/>
  <c r="Z15" i="10"/>
  <c r="U73" i="14"/>
  <c r="V72" i="14"/>
  <c r="R68" i="14"/>
  <c r="U74" i="14"/>
  <c r="U17" i="17"/>
  <c r="I12" i="16"/>
  <c r="U72" i="13"/>
  <c r="V70" i="13"/>
  <c r="Z72" i="13"/>
  <c r="X39" i="13"/>
  <c r="Y39" i="13" s="1"/>
  <c r="Z39" i="12"/>
  <c r="X28" i="13"/>
  <c r="Y28" i="13" s="1"/>
  <c r="Z28" i="12"/>
  <c r="X27" i="12"/>
  <c r="Y27" i="12" s="1"/>
  <c r="Z27" i="11"/>
  <c r="V42" i="23"/>
  <c r="R42" i="22"/>
  <c r="X32" i="16"/>
  <c r="Y32" i="16" s="1"/>
  <c r="Z32" i="15"/>
  <c r="H31" i="17"/>
  <c r="T36" i="18"/>
  <c r="T41" i="20"/>
  <c r="H36" i="19"/>
  <c r="U65" i="14"/>
  <c r="I60" i="13"/>
  <c r="U57" i="19"/>
  <c r="I52" i="18"/>
  <c r="X54" i="13"/>
  <c r="Y54" i="13" s="1"/>
  <c r="Z54" i="12"/>
  <c r="V63" i="16"/>
  <c r="R63" i="15"/>
  <c r="V59" i="16"/>
  <c r="R59" i="15"/>
  <c r="T59" i="22"/>
  <c r="H54" i="21"/>
  <c r="I32" i="14"/>
  <c r="U37" i="15"/>
  <c r="X43" i="13"/>
  <c r="Y43" i="13" s="1"/>
  <c r="Z43" i="12"/>
  <c r="T56" i="14"/>
  <c r="H51" i="13"/>
  <c r="X14" i="11"/>
  <c r="Y14" i="11" s="1"/>
  <c r="Z14" i="10"/>
  <c r="X62" i="13"/>
  <c r="Y62" i="13" s="1"/>
  <c r="Z62" i="12"/>
  <c r="T40" i="13"/>
  <c r="H35" i="12"/>
  <c r="X21" i="13"/>
  <c r="Y21" i="13" s="1"/>
  <c r="Z21" i="12"/>
  <c r="X29" i="11"/>
  <c r="Y29" i="11" s="1"/>
  <c r="Z29" i="10"/>
  <c r="X26" i="17"/>
  <c r="Y26" i="17" s="1"/>
  <c r="Z26" i="16"/>
  <c r="V58" i="16"/>
  <c r="R58" i="15"/>
  <c r="T53" i="15"/>
  <c r="H48" i="14"/>
  <c r="X12" i="11"/>
  <c r="Z12" i="10"/>
  <c r="U41" i="15"/>
  <c r="I36" i="14"/>
  <c r="T15" i="16"/>
  <c r="H10" i="15"/>
  <c r="U59" i="21"/>
  <c r="I54" i="20"/>
  <c r="U15" i="16"/>
  <c r="I10" i="15"/>
  <c r="I7" i="48"/>
  <c r="U12" i="49"/>
  <c r="T64" i="14"/>
  <c r="H59" i="13"/>
  <c r="X64" i="11"/>
  <c r="Y64" i="11" s="1"/>
  <c r="Z64" i="10"/>
  <c r="U38" i="19"/>
  <c r="I33" i="18"/>
  <c r="X50" i="11"/>
  <c r="Y50" i="11" s="1"/>
  <c r="Z50" i="10"/>
  <c r="T61" i="24"/>
  <c r="H56" i="23"/>
  <c r="U18" i="20"/>
  <c r="I13" i="19"/>
  <c r="V66" i="16"/>
  <c r="R66" i="15"/>
  <c r="T30" i="13"/>
  <c r="H25" i="12"/>
  <c r="T57" i="23"/>
  <c r="H52" i="22"/>
  <c r="U62" i="39"/>
  <c r="I57" i="38"/>
  <c r="X44" i="12"/>
  <c r="Y44" i="12" s="1"/>
  <c r="Z44" i="11"/>
  <c r="X58" i="11"/>
  <c r="Y58" i="11" s="1"/>
  <c r="Z58" i="10"/>
  <c r="U50" i="36"/>
  <c r="I45" i="35"/>
  <c r="X25" i="11"/>
  <c r="Y25" i="11" s="1"/>
  <c r="Z25" i="10"/>
  <c r="U31" i="16"/>
  <c r="I26" i="15"/>
  <c r="V29" i="16"/>
  <c r="R29" i="15"/>
  <c r="V68" i="15"/>
  <c r="U35" i="16"/>
  <c r="I30" i="15"/>
  <c r="H14" i="20"/>
  <c r="T19" i="21"/>
  <c r="U34" i="38"/>
  <c r="I29" i="37"/>
  <c r="U67" i="15"/>
  <c r="I62" i="14"/>
  <c r="U23" i="20"/>
  <c r="I18" i="19"/>
  <c r="X38" i="11"/>
  <c r="Y38" i="11" s="1"/>
  <c r="Z38" i="10"/>
  <c r="X61" i="12"/>
  <c r="Y61" i="12" s="1"/>
  <c r="Z61" i="11"/>
  <c r="U28" i="16"/>
  <c r="I23" i="15"/>
  <c r="U63" i="14"/>
  <c r="I58" i="13"/>
  <c r="V55" i="37"/>
  <c r="R55" i="36"/>
  <c r="I59" i="37"/>
  <c r="U64" i="38"/>
  <c r="U43" i="16"/>
  <c r="I38" i="15"/>
  <c r="T31" i="16"/>
  <c r="H26" i="15"/>
  <c r="T54" i="15"/>
  <c r="H49" i="14"/>
  <c r="V24" i="55"/>
  <c r="R24" i="54"/>
  <c r="T21" i="14"/>
  <c r="H16" i="13"/>
  <c r="V44" i="55"/>
  <c r="R44" i="54"/>
  <c r="V39" i="29" l="1"/>
  <c r="R39" i="28"/>
  <c r="I9" i="37"/>
  <c r="U14" i="38"/>
  <c r="U16" i="28"/>
  <c r="I11" i="27"/>
  <c r="V16" i="28"/>
  <c r="R16" i="27"/>
  <c r="V40" i="57"/>
  <c r="R40" i="57" s="1"/>
  <c r="R40" i="56"/>
  <c r="R31" i="53"/>
  <c r="V31" i="54"/>
  <c r="R25" i="46"/>
  <c r="V25" i="47"/>
  <c r="V51" i="33"/>
  <c r="R51" i="32"/>
  <c r="V30" i="57"/>
  <c r="R30" i="57" s="1"/>
  <c r="R30" i="56"/>
  <c r="V34" i="33"/>
  <c r="R34" i="32"/>
  <c r="V21" i="28"/>
  <c r="R21" i="27"/>
  <c r="V18" i="30"/>
  <c r="R18" i="29"/>
  <c r="V43" i="29"/>
  <c r="R43" i="28"/>
  <c r="V57" i="57"/>
  <c r="R57" i="57" s="1"/>
  <c r="R57" i="56"/>
  <c r="V20" i="55"/>
  <c r="R20" i="54"/>
  <c r="V54" i="28"/>
  <c r="R54" i="27"/>
  <c r="U13" i="53"/>
  <c r="I8" i="52"/>
  <c r="U44" i="39"/>
  <c r="I39" i="38"/>
  <c r="V64" i="28"/>
  <c r="R64" i="27"/>
  <c r="V32" i="28"/>
  <c r="R32" i="27"/>
  <c r="V27" i="30"/>
  <c r="R27" i="29"/>
  <c r="V50" i="46"/>
  <c r="R50" i="40"/>
  <c r="V14" i="28"/>
  <c r="R14" i="27"/>
  <c r="U20" i="38"/>
  <c r="I15" i="37"/>
  <c r="U60" i="28"/>
  <c r="I55" i="27"/>
  <c r="I31" i="36"/>
  <c r="U36" i="37"/>
  <c r="V26" i="34"/>
  <c r="R26" i="33"/>
  <c r="V38" i="46"/>
  <c r="R38" i="40"/>
  <c r="I49" i="37"/>
  <c r="U54" i="38"/>
  <c r="V37" i="28"/>
  <c r="R37" i="27"/>
  <c r="U32" i="28"/>
  <c r="I27" i="27"/>
  <c r="V41" i="52"/>
  <c r="R41" i="51"/>
  <c r="V15" i="31"/>
  <c r="R15" i="30"/>
  <c r="U24" i="38"/>
  <c r="I19" i="37"/>
  <c r="X41" i="13"/>
  <c r="Y41" i="13" s="1"/>
  <c r="Z41" i="12"/>
  <c r="V17" i="31"/>
  <c r="R17" i="30"/>
  <c r="U25" i="19"/>
  <c r="I20" i="18"/>
  <c r="AA81" i="23"/>
  <c r="AF16" i="23" s="1"/>
  <c r="AA80" i="24"/>
  <c r="X49" i="15"/>
  <c r="Y49" i="15" s="1"/>
  <c r="Z49" i="14"/>
  <c r="T49" i="18"/>
  <c r="H44" i="17"/>
  <c r="R53" i="56"/>
  <c r="V53" i="57"/>
  <c r="X36" i="14"/>
  <c r="Y36" i="14" s="1"/>
  <c r="Z36" i="13"/>
  <c r="X60" i="13"/>
  <c r="Y60" i="13" s="1"/>
  <c r="Z60" i="12"/>
  <c r="I51" i="47"/>
  <c r="U56" i="48"/>
  <c r="T51" i="16"/>
  <c r="H46" i="15"/>
  <c r="X59" i="13"/>
  <c r="Y59" i="13" s="1"/>
  <c r="Z59" i="12"/>
  <c r="V28" i="33"/>
  <c r="R28" i="32"/>
  <c r="T44" i="17"/>
  <c r="H39" i="16"/>
  <c r="I24" i="15"/>
  <c r="U29" i="16"/>
  <c r="X57" i="15"/>
  <c r="Y57" i="15" s="1"/>
  <c r="Z57" i="14"/>
  <c r="X18" i="14"/>
  <c r="Y18" i="14" s="1"/>
  <c r="Z18" i="13"/>
  <c r="X61" i="13"/>
  <c r="Y61" i="13" s="1"/>
  <c r="Z61" i="12"/>
  <c r="U67" i="16"/>
  <c r="I62" i="15"/>
  <c r="U35" i="17"/>
  <c r="I30" i="16"/>
  <c r="X25" i="12"/>
  <c r="Y25" i="12" s="1"/>
  <c r="Z25" i="11"/>
  <c r="X44" i="13"/>
  <c r="Y44" i="13" s="1"/>
  <c r="Z44" i="12"/>
  <c r="T56" i="15"/>
  <c r="H51" i="14"/>
  <c r="U57" i="20"/>
  <c r="I52" i="19"/>
  <c r="X32" i="17"/>
  <c r="Y32" i="17" s="1"/>
  <c r="Z32" i="16"/>
  <c r="X15" i="12"/>
  <c r="Y15" i="12" s="1"/>
  <c r="Z15" i="11"/>
  <c r="V60" i="17"/>
  <c r="R60" i="16"/>
  <c r="I25" i="38"/>
  <c r="U30" i="39"/>
  <c r="T52" i="17"/>
  <c r="H47" i="16"/>
  <c r="X72" i="25"/>
  <c r="Y72" i="25" s="1"/>
  <c r="AA77" i="24"/>
  <c r="AA79" i="24" s="1"/>
  <c r="V49" i="17"/>
  <c r="R49" i="16"/>
  <c r="V33" i="26"/>
  <c r="R33" i="25"/>
  <c r="I50" i="14"/>
  <c r="U55" i="15"/>
  <c r="T32" i="13"/>
  <c r="H27" i="12"/>
  <c r="X30" i="12"/>
  <c r="Y30" i="12" s="1"/>
  <c r="Z30" i="11"/>
  <c r="T28" i="19"/>
  <c r="H23" i="18"/>
  <c r="X24" i="15"/>
  <c r="Y24" i="15" s="1"/>
  <c r="Z24" i="14"/>
  <c r="T18" i="17"/>
  <c r="H13" i="16"/>
  <c r="T40" i="14"/>
  <c r="H35" i="13"/>
  <c r="U38" i="20"/>
  <c r="I33" i="19"/>
  <c r="X26" i="18"/>
  <c r="Y26" i="18" s="1"/>
  <c r="Z26" i="17"/>
  <c r="V59" i="17"/>
  <c r="R59" i="16"/>
  <c r="T55" i="29"/>
  <c r="H50" i="28"/>
  <c r="X66" i="12"/>
  <c r="Y66" i="12" s="1"/>
  <c r="Z66" i="11"/>
  <c r="I16" i="15"/>
  <c r="U21" i="16"/>
  <c r="X35" i="13"/>
  <c r="Y35" i="13" s="1"/>
  <c r="Z35" i="12"/>
  <c r="X50" i="12"/>
  <c r="Y50" i="12" s="1"/>
  <c r="Z50" i="11"/>
  <c r="V66" i="17"/>
  <c r="R66" i="16"/>
  <c r="X62" i="14"/>
  <c r="Y62" i="14" s="1"/>
  <c r="Z62" i="13"/>
  <c r="X16" i="15"/>
  <c r="Y16" i="15" s="1"/>
  <c r="Z16" i="14"/>
  <c r="V13" i="54"/>
  <c r="R13" i="53"/>
  <c r="X37" i="12"/>
  <c r="Y37" i="12" s="1"/>
  <c r="Z37" i="11"/>
  <c r="T26" i="15"/>
  <c r="H21" i="14"/>
  <c r="X31" i="15"/>
  <c r="Y31" i="15" s="1"/>
  <c r="Z31" i="14"/>
  <c r="R44" i="55"/>
  <c r="V44" i="56"/>
  <c r="V55" i="38"/>
  <c r="R55" i="37"/>
  <c r="X38" i="12"/>
  <c r="Y38" i="12" s="1"/>
  <c r="Z38" i="11"/>
  <c r="I29" i="38"/>
  <c r="U34" i="39"/>
  <c r="X43" i="14"/>
  <c r="Y43" i="14" s="1"/>
  <c r="Z43" i="13"/>
  <c r="U65" i="15"/>
  <c r="I60" i="14"/>
  <c r="U17" i="18"/>
  <c r="I12" i="17"/>
  <c r="V52" i="55"/>
  <c r="R52" i="54"/>
  <c r="T25" i="18"/>
  <c r="H20" i="17"/>
  <c r="T23" i="16"/>
  <c r="H18" i="15"/>
  <c r="U53" i="17"/>
  <c r="I48" i="16"/>
  <c r="T62" i="29"/>
  <c r="H57" i="28"/>
  <c r="V36" i="17"/>
  <c r="R36" i="16"/>
  <c r="V62" i="56"/>
  <c r="R62" i="55"/>
  <c r="T34" i="15"/>
  <c r="H29" i="14"/>
  <c r="R12" i="27"/>
  <c r="V12" i="28"/>
  <c r="V61" i="57"/>
  <c r="R61" i="56"/>
  <c r="X52" i="13"/>
  <c r="Y52" i="13" s="1"/>
  <c r="Z52" i="12"/>
  <c r="T35" i="20"/>
  <c r="H30" i="19"/>
  <c r="T42" i="22"/>
  <c r="H37" i="21"/>
  <c r="V58" i="17"/>
  <c r="R58" i="16"/>
  <c r="I10" i="16"/>
  <c r="U15" i="17"/>
  <c r="AG27" i="8"/>
  <c r="Y74" i="8"/>
  <c r="U33" i="18"/>
  <c r="I28" i="17"/>
  <c r="X23" i="12"/>
  <c r="Y23" i="12" s="1"/>
  <c r="Z23" i="11"/>
  <c r="U73" i="15"/>
  <c r="U74" i="15"/>
  <c r="R68" i="15"/>
  <c r="V72" i="15"/>
  <c r="U62" i="40"/>
  <c r="I57" i="39"/>
  <c r="Y12" i="11"/>
  <c r="T31" i="17"/>
  <c r="H26" i="16"/>
  <c r="U43" i="17"/>
  <c r="I38" i="16"/>
  <c r="U18" i="21"/>
  <c r="I13" i="20"/>
  <c r="X64" i="12"/>
  <c r="Y64" i="12" s="1"/>
  <c r="Z64" i="11"/>
  <c r="I54" i="21"/>
  <c r="U59" i="22"/>
  <c r="X29" i="12"/>
  <c r="Y29" i="12" s="1"/>
  <c r="Z29" i="11"/>
  <c r="X14" i="12"/>
  <c r="Y14" i="12" s="1"/>
  <c r="Z14" i="11"/>
  <c r="I32" i="15"/>
  <c r="U37" i="16"/>
  <c r="V42" i="24"/>
  <c r="R42" i="23"/>
  <c r="X39" i="14"/>
  <c r="Y39" i="14" s="1"/>
  <c r="Z39" i="13"/>
  <c r="Y13" i="9"/>
  <c r="X68" i="9"/>
  <c r="X74" i="9" s="1"/>
  <c r="X19" i="14"/>
  <c r="Y19" i="14" s="1"/>
  <c r="Z19" i="13"/>
  <c r="U42" i="18"/>
  <c r="I37" i="17"/>
  <c r="V67" i="17"/>
  <c r="R67" i="16"/>
  <c r="Z67" i="16"/>
  <c r="U27" i="17"/>
  <c r="I22" i="16"/>
  <c r="T17" i="18"/>
  <c r="H12" i="17"/>
  <c r="T50" i="17"/>
  <c r="H45" i="16"/>
  <c r="V19" i="56"/>
  <c r="R19" i="55"/>
  <c r="X34" i="13"/>
  <c r="Y34" i="13" s="1"/>
  <c r="Z34" i="12"/>
  <c r="T43" i="20"/>
  <c r="H38" i="19"/>
  <c r="T16" i="14"/>
  <c r="H11" i="13"/>
  <c r="T13" i="15"/>
  <c r="H8" i="14"/>
  <c r="U26" i="26"/>
  <c r="I21" i="25"/>
  <c r="T22" i="20"/>
  <c r="H17" i="19"/>
  <c r="I34" i="20"/>
  <c r="U39" i="21"/>
  <c r="X33" i="12"/>
  <c r="Y33" i="12" s="1"/>
  <c r="Z33" i="11"/>
  <c r="X17" i="12"/>
  <c r="Y17" i="12" s="1"/>
  <c r="Z17" i="11"/>
  <c r="V73" i="24"/>
  <c r="R73" i="23"/>
  <c r="Z73" i="23"/>
  <c r="X28" i="14"/>
  <c r="Y28" i="14" s="1"/>
  <c r="Z28" i="13"/>
  <c r="T54" i="16"/>
  <c r="H49" i="15"/>
  <c r="T21" i="15"/>
  <c r="H16" i="14"/>
  <c r="U64" i="39"/>
  <c r="I59" i="38"/>
  <c r="I58" i="14"/>
  <c r="U63" i="15"/>
  <c r="U50" i="37"/>
  <c r="I45" i="36"/>
  <c r="T41" i="21"/>
  <c r="H36" i="20"/>
  <c r="I47" i="20"/>
  <c r="U52" i="21"/>
  <c r="T38" i="20"/>
  <c r="H33" i="19"/>
  <c r="T60" i="17"/>
  <c r="H55" i="16"/>
  <c r="U22" i="46"/>
  <c r="I17" i="40"/>
  <c r="H14" i="21"/>
  <c r="T19" i="22"/>
  <c r="T61" i="25"/>
  <c r="H56" i="24"/>
  <c r="T64" i="15"/>
  <c r="H59" i="14"/>
  <c r="T15" i="17"/>
  <c r="H10" i="16"/>
  <c r="X21" i="14"/>
  <c r="Y21" i="14" s="1"/>
  <c r="Z21" i="13"/>
  <c r="H31" i="18"/>
  <c r="T36" i="19"/>
  <c r="X27" i="13"/>
  <c r="Y27" i="13" s="1"/>
  <c r="Z27" i="12"/>
  <c r="V70" i="14"/>
  <c r="U72" i="14"/>
  <c r="Z72" i="14"/>
  <c r="U49" i="20"/>
  <c r="I44" i="19"/>
  <c r="T20" i="19"/>
  <c r="H15" i="18"/>
  <c r="V56" i="17"/>
  <c r="R56" i="16"/>
  <c r="U58" i="38"/>
  <c r="I53" i="37"/>
  <c r="H9" i="19"/>
  <c r="T14" i="20"/>
  <c r="AA88" i="7"/>
  <c r="AF14" i="7" s="1"/>
  <c r="AA87" i="8"/>
  <c r="R23" i="56"/>
  <c r="V23" i="57"/>
  <c r="T29" i="22"/>
  <c r="H24" i="21"/>
  <c r="T24" i="22"/>
  <c r="H19" i="21"/>
  <c r="X20" i="19"/>
  <c r="Y20" i="19" s="1"/>
  <c r="Z20" i="18"/>
  <c r="T58" i="24"/>
  <c r="H53" i="23"/>
  <c r="T37" i="15"/>
  <c r="H32" i="14"/>
  <c r="U51" i="16"/>
  <c r="I46" i="15"/>
  <c r="U61" i="17"/>
  <c r="I56" i="16"/>
  <c r="T33" i="21"/>
  <c r="H28" i="20"/>
  <c r="X56" i="12"/>
  <c r="Y56" i="12" s="1"/>
  <c r="Z56" i="11"/>
  <c r="T63" i="29"/>
  <c r="H58" i="28"/>
  <c r="X53" i="13"/>
  <c r="Y53" i="13" s="1"/>
  <c r="Z53" i="12"/>
  <c r="R24" i="55"/>
  <c r="V24" i="56"/>
  <c r="U41" i="16"/>
  <c r="I36" i="15"/>
  <c r="I18" i="20"/>
  <c r="U23" i="21"/>
  <c r="V29" i="17"/>
  <c r="R29" i="16"/>
  <c r="V68" i="16"/>
  <c r="T57" i="24"/>
  <c r="H52" i="23"/>
  <c r="T53" i="16"/>
  <c r="H48" i="15"/>
  <c r="V63" i="17"/>
  <c r="R63" i="16"/>
  <c r="X55" i="14"/>
  <c r="Y55" i="14" s="1"/>
  <c r="Z55" i="13"/>
  <c r="V22" i="36"/>
  <c r="R22" i="35"/>
  <c r="V65" i="17"/>
  <c r="R65" i="16"/>
  <c r="Z65" i="16"/>
  <c r="U28" i="17"/>
  <c r="I23" i="16"/>
  <c r="I26" i="16"/>
  <c r="U31" i="17"/>
  <c r="X58" i="12"/>
  <c r="Y58" i="12" s="1"/>
  <c r="Z58" i="11"/>
  <c r="T30" i="14"/>
  <c r="H25" i="13"/>
  <c r="U12" i="50"/>
  <c r="I7" i="49"/>
  <c r="T59" i="23"/>
  <c r="H54" i="22"/>
  <c r="X54" i="14"/>
  <c r="Y54" i="14" s="1"/>
  <c r="Z54" i="13"/>
  <c r="X63" i="12"/>
  <c r="Y63" i="12" s="1"/>
  <c r="Z63" i="11"/>
  <c r="X51" i="14"/>
  <c r="Y51" i="14" s="1"/>
  <c r="Z51" i="13"/>
  <c r="X42" i="17"/>
  <c r="Y42" i="17" s="1"/>
  <c r="Z42" i="16"/>
  <c r="U40" i="40"/>
  <c r="I35" i="39"/>
  <c r="T12" i="18"/>
  <c r="H7" i="17"/>
  <c r="X22" i="12"/>
  <c r="Y22" i="12" s="1"/>
  <c r="Z22" i="11"/>
  <c r="U66" i="21"/>
  <c r="I61" i="20"/>
  <c r="T39" i="24"/>
  <c r="H34" i="23"/>
  <c r="U19" i="16"/>
  <c r="I14" i="15"/>
  <c r="T27" i="13"/>
  <c r="H22" i="12"/>
  <c r="X40" i="12"/>
  <c r="Y40" i="12" s="1"/>
  <c r="Z40" i="11"/>
  <c r="V41" i="53" l="1"/>
  <c r="R41" i="52"/>
  <c r="R38" i="46"/>
  <c r="V38" i="47"/>
  <c r="I15" i="38"/>
  <c r="U20" i="39"/>
  <c r="V32" i="29"/>
  <c r="R32" i="28"/>
  <c r="V54" i="29"/>
  <c r="R54" i="28"/>
  <c r="V18" i="31"/>
  <c r="R18" i="30"/>
  <c r="V51" i="34"/>
  <c r="R51" i="33"/>
  <c r="V16" i="29"/>
  <c r="R16" i="28"/>
  <c r="V25" i="48"/>
  <c r="R25" i="47"/>
  <c r="I27" i="28"/>
  <c r="U32" i="29"/>
  <c r="V26" i="35"/>
  <c r="R26" i="34"/>
  <c r="V14" i="29"/>
  <c r="R14" i="28"/>
  <c r="V64" i="29"/>
  <c r="R64" i="28"/>
  <c r="V20" i="56"/>
  <c r="R20" i="55"/>
  <c r="V21" i="29"/>
  <c r="R21" i="28"/>
  <c r="U16" i="29"/>
  <c r="I11" i="28"/>
  <c r="U36" i="38"/>
  <c r="I31" i="37"/>
  <c r="R31" i="54"/>
  <c r="V31" i="55"/>
  <c r="I9" i="38"/>
  <c r="U14" i="39"/>
  <c r="I19" i="38"/>
  <c r="U24" i="39"/>
  <c r="V37" i="29"/>
  <c r="R37" i="28"/>
  <c r="R50" i="46"/>
  <c r="V50" i="47"/>
  <c r="U44" i="40"/>
  <c r="I39" i="39"/>
  <c r="V34" i="34"/>
  <c r="R34" i="33"/>
  <c r="I49" i="38"/>
  <c r="U54" i="39"/>
  <c r="V15" i="32"/>
  <c r="R15" i="31"/>
  <c r="I55" i="28"/>
  <c r="U60" i="29"/>
  <c r="V27" i="31"/>
  <c r="R27" i="30"/>
  <c r="U13" i="54"/>
  <c r="I8" i="53"/>
  <c r="V43" i="30"/>
  <c r="R43" i="29"/>
  <c r="V39" i="30"/>
  <c r="R39" i="29"/>
  <c r="X42" i="18"/>
  <c r="Y42" i="18" s="1"/>
  <c r="Z42" i="17"/>
  <c r="V63" i="18"/>
  <c r="R63" i="17"/>
  <c r="R23" i="57"/>
  <c r="X16" i="16"/>
  <c r="Y16" i="16" s="1"/>
  <c r="Z16" i="15"/>
  <c r="T18" i="18"/>
  <c r="H13" i="17"/>
  <c r="T51" i="17"/>
  <c r="H46" i="16"/>
  <c r="U19" i="17"/>
  <c r="I14" i="16"/>
  <c r="X58" i="13"/>
  <c r="Y58" i="13" s="1"/>
  <c r="Z58" i="12"/>
  <c r="U23" i="22"/>
  <c r="I18" i="21"/>
  <c r="R24" i="56"/>
  <c r="V24" i="57"/>
  <c r="T24" i="23"/>
  <c r="H19" i="22"/>
  <c r="T15" i="18"/>
  <c r="H10" i="17"/>
  <c r="U52" i="22"/>
  <c r="I47" i="21"/>
  <c r="U50" i="38"/>
  <c r="I45" i="37"/>
  <c r="T21" i="16"/>
  <c r="H16" i="15"/>
  <c r="V73" i="25"/>
  <c r="R73" i="24"/>
  <c r="Z73" i="24"/>
  <c r="T16" i="15"/>
  <c r="H11" i="14"/>
  <c r="U42" i="19"/>
  <c r="I37" i="18"/>
  <c r="U59" i="23"/>
  <c r="I54" i="22"/>
  <c r="T34" i="16"/>
  <c r="H29" i="15"/>
  <c r="T62" i="30"/>
  <c r="H57" i="29"/>
  <c r="U65" i="16"/>
  <c r="I60" i="15"/>
  <c r="H21" i="15"/>
  <c r="T26" i="16"/>
  <c r="X35" i="14"/>
  <c r="Y35" i="14" s="1"/>
  <c r="Z35" i="13"/>
  <c r="X44" i="14"/>
  <c r="Y44" i="14" s="1"/>
  <c r="Z44" i="13"/>
  <c r="X61" i="14"/>
  <c r="Y61" i="14" s="1"/>
  <c r="Z61" i="13"/>
  <c r="T44" i="18"/>
  <c r="H39" i="17"/>
  <c r="U56" i="49"/>
  <c r="I51" i="48"/>
  <c r="X36" i="15"/>
  <c r="Y36" i="15" s="1"/>
  <c r="Z36" i="14"/>
  <c r="T49" i="19"/>
  <c r="H44" i="18"/>
  <c r="H33" i="20"/>
  <c r="T38" i="21"/>
  <c r="X29" i="13"/>
  <c r="Y29" i="13" s="1"/>
  <c r="Z29" i="12"/>
  <c r="X51" i="15"/>
  <c r="Y51" i="15" s="1"/>
  <c r="Z51" i="14"/>
  <c r="X62" i="15"/>
  <c r="Y62" i="15" s="1"/>
  <c r="Z62" i="14"/>
  <c r="T32" i="14"/>
  <c r="H27" i="13"/>
  <c r="X32" i="18"/>
  <c r="Y32" i="18" s="1"/>
  <c r="Z32" i="17"/>
  <c r="V17" i="32"/>
  <c r="R17" i="31"/>
  <c r="V22" i="37"/>
  <c r="R22" i="36"/>
  <c r="T37" i="16"/>
  <c r="H32" i="15"/>
  <c r="X27" i="14"/>
  <c r="Y27" i="14" s="1"/>
  <c r="Z27" i="13"/>
  <c r="T64" i="16"/>
  <c r="H59" i="15"/>
  <c r="T54" i="17"/>
  <c r="H49" i="16"/>
  <c r="X17" i="13"/>
  <c r="Y17" i="13" s="1"/>
  <c r="Z17" i="12"/>
  <c r="H17" i="20"/>
  <c r="T22" i="21"/>
  <c r="R19" i="56"/>
  <c r="V19" i="57"/>
  <c r="X19" i="15"/>
  <c r="Y19" i="15" s="1"/>
  <c r="Z19" i="14"/>
  <c r="U37" i="17"/>
  <c r="I32" i="16"/>
  <c r="U33" i="19"/>
  <c r="I28" i="18"/>
  <c r="R61" i="57"/>
  <c r="U53" i="18"/>
  <c r="I48" i="17"/>
  <c r="X43" i="15"/>
  <c r="Y43" i="15" s="1"/>
  <c r="Z43" i="14"/>
  <c r="X37" i="13"/>
  <c r="Y37" i="13" s="1"/>
  <c r="Z37" i="12"/>
  <c r="I50" i="15"/>
  <c r="U55" i="16"/>
  <c r="AA81" i="24"/>
  <c r="AF16" i="24" s="1"/>
  <c r="AA80" i="25"/>
  <c r="X25" i="13"/>
  <c r="Y25" i="13" s="1"/>
  <c r="Z25" i="12"/>
  <c r="X18" i="15"/>
  <c r="Y18" i="15" s="1"/>
  <c r="Z18" i="14"/>
  <c r="X49" i="16"/>
  <c r="Y49" i="16" s="1"/>
  <c r="Z49" i="15"/>
  <c r="T59" i="24"/>
  <c r="H54" i="23"/>
  <c r="V68" i="17"/>
  <c r="V29" i="18"/>
  <c r="R29" i="17"/>
  <c r="X34" i="14"/>
  <c r="Y34" i="14" s="1"/>
  <c r="Z34" i="13"/>
  <c r="X52" i="14"/>
  <c r="Y52" i="14" s="1"/>
  <c r="Z52" i="13"/>
  <c r="X30" i="13"/>
  <c r="Y30" i="13" s="1"/>
  <c r="Z30" i="12"/>
  <c r="T33" i="22"/>
  <c r="H28" i="21"/>
  <c r="V56" i="18"/>
  <c r="R56" i="17"/>
  <c r="V42" i="25"/>
  <c r="R42" i="24"/>
  <c r="V58" i="18"/>
  <c r="R58" i="17"/>
  <c r="V55" i="39"/>
  <c r="R55" i="38"/>
  <c r="U21" i="17"/>
  <c r="I16" i="16"/>
  <c r="V49" i="18"/>
  <c r="R49" i="17"/>
  <c r="H7" i="18"/>
  <c r="T12" i="19"/>
  <c r="X63" i="13"/>
  <c r="Y63" i="13" s="1"/>
  <c r="Z63" i="12"/>
  <c r="T57" i="25"/>
  <c r="H52" i="24"/>
  <c r="X53" i="14"/>
  <c r="Y53" i="14" s="1"/>
  <c r="Z53" i="13"/>
  <c r="U61" i="18"/>
  <c r="I56" i="17"/>
  <c r="H9" i="20"/>
  <c r="T14" i="21"/>
  <c r="T20" i="20"/>
  <c r="H15" i="19"/>
  <c r="T36" i="20"/>
  <c r="H31" i="19"/>
  <c r="U22" i="47"/>
  <c r="I17" i="46"/>
  <c r="I58" i="15"/>
  <c r="U63" i="16"/>
  <c r="U27" i="18"/>
  <c r="I22" i="17"/>
  <c r="X64" i="13"/>
  <c r="Y64" i="13" s="1"/>
  <c r="Z64" i="12"/>
  <c r="X12" i="12"/>
  <c r="Z12" i="11"/>
  <c r="X23" i="13"/>
  <c r="Y23" i="13" s="1"/>
  <c r="Z23" i="12"/>
  <c r="Y70" i="8"/>
  <c r="V78" i="8"/>
  <c r="V79" i="8" s="1"/>
  <c r="AA84" i="8"/>
  <c r="AA86" i="8" s="1"/>
  <c r="T42" i="23"/>
  <c r="H37" i="22"/>
  <c r="V62" i="57"/>
  <c r="R62" i="56"/>
  <c r="U34" i="40"/>
  <c r="I29" i="39"/>
  <c r="R44" i="56"/>
  <c r="V44" i="57"/>
  <c r="V59" i="18"/>
  <c r="R59" i="17"/>
  <c r="T40" i="15"/>
  <c r="H35" i="14"/>
  <c r="X24" i="16"/>
  <c r="Y24" i="16" s="1"/>
  <c r="Z24" i="15"/>
  <c r="X72" i="26"/>
  <c r="Y72" i="26" s="1"/>
  <c r="AA77" i="25"/>
  <c r="AA79" i="25" s="1"/>
  <c r="V60" i="18"/>
  <c r="R60" i="17"/>
  <c r="U57" i="21"/>
  <c r="I52" i="20"/>
  <c r="V28" i="34"/>
  <c r="R28" i="33"/>
  <c r="X41" i="14"/>
  <c r="Y41" i="14" s="1"/>
  <c r="Z41" i="13"/>
  <c r="U43" i="18"/>
  <c r="I38" i="17"/>
  <c r="U38" i="21"/>
  <c r="I33" i="20"/>
  <c r="U30" i="40"/>
  <c r="I25" i="39"/>
  <c r="X22" i="13"/>
  <c r="Y22" i="13" s="1"/>
  <c r="Z22" i="12"/>
  <c r="U31" i="18"/>
  <c r="I26" i="17"/>
  <c r="T53" i="17"/>
  <c r="H48" i="16"/>
  <c r="H26" i="17"/>
  <c r="T31" i="18"/>
  <c r="T25" i="19"/>
  <c r="H20" i="18"/>
  <c r="X40" i="13"/>
  <c r="Y40" i="13" s="1"/>
  <c r="Z40" i="12"/>
  <c r="U12" i="51"/>
  <c r="I7" i="50"/>
  <c r="X55" i="15"/>
  <c r="Y55" i="15" s="1"/>
  <c r="Z55" i="14"/>
  <c r="T58" i="25"/>
  <c r="H53" i="24"/>
  <c r="T61" i="26"/>
  <c r="H56" i="25"/>
  <c r="X28" i="15"/>
  <c r="Y28" i="15" s="1"/>
  <c r="Z28" i="14"/>
  <c r="X33" i="13"/>
  <c r="Y33" i="13" s="1"/>
  <c r="Z33" i="12"/>
  <c r="U26" i="27"/>
  <c r="I21" i="26"/>
  <c r="T50" i="18"/>
  <c r="H45" i="17"/>
  <c r="X13" i="10"/>
  <c r="Z13" i="9"/>
  <c r="Z68" i="9" s="1"/>
  <c r="Z74" i="9" s="1"/>
  <c r="Z70" i="9" s="1"/>
  <c r="Y68" i="9"/>
  <c r="R12" i="28"/>
  <c r="V12" i="29"/>
  <c r="T23" i="17"/>
  <c r="H18" i="16"/>
  <c r="V52" i="56"/>
  <c r="R52" i="55"/>
  <c r="V66" i="18"/>
  <c r="R66" i="17"/>
  <c r="X66" i="13"/>
  <c r="Y66" i="13" s="1"/>
  <c r="Z66" i="12"/>
  <c r="U35" i="18"/>
  <c r="I30" i="17"/>
  <c r="X57" i="16"/>
  <c r="Y57" i="16" s="1"/>
  <c r="Z57" i="15"/>
  <c r="U66" i="22"/>
  <c r="I61" i="21"/>
  <c r="X56" i="13"/>
  <c r="Y56" i="13" s="1"/>
  <c r="Z56" i="12"/>
  <c r="T39" i="25"/>
  <c r="H34" i="24"/>
  <c r="U40" i="46"/>
  <c r="I35" i="40"/>
  <c r="X54" i="15"/>
  <c r="Y54" i="15" s="1"/>
  <c r="Z54" i="14"/>
  <c r="U73" i="16"/>
  <c r="R68" i="16"/>
  <c r="V72" i="16"/>
  <c r="U74" i="16"/>
  <c r="T63" i="30"/>
  <c r="H58" i="29"/>
  <c r="I46" i="16"/>
  <c r="U51" i="17"/>
  <c r="T29" i="23"/>
  <c r="H24" i="22"/>
  <c r="U49" i="21"/>
  <c r="I44" i="20"/>
  <c r="T19" i="23"/>
  <c r="H14" i="22"/>
  <c r="T60" i="18"/>
  <c r="H55" i="17"/>
  <c r="U39" i="22"/>
  <c r="I34" i="21"/>
  <c r="T43" i="21"/>
  <c r="H38" i="20"/>
  <c r="X14" i="13"/>
  <c r="Y14" i="13" s="1"/>
  <c r="Z14" i="12"/>
  <c r="U18" i="22"/>
  <c r="I13" i="21"/>
  <c r="U62" i="46"/>
  <c r="I57" i="40"/>
  <c r="U15" i="18"/>
  <c r="I10" i="17"/>
  <c r="H30" i="20"/>
  <c r="T35" i="21"/>
  <c r="R13" i="54"/>
  <c r="V13" i="55"/>
  <c r="Z26" i="18"/>
  <c r="X26" i="19"/>
  <c r="Y26" i="19" s="1"/>
  <c r="T28" i="20"/>
  <c r="H23" i="19"/>
  <c r="X15" i="13"/>
  <c r="Y15" i="13" s="1"/>
  <c r="Z15" i="12"/>
  <c r="T56" i="16"/>
  <c r="H51" i="15"/>
  <c r="U29" i="17"/>
  <c r="I24" i="16"/>
  <c r="X59" i="14"/>
  <c r="Y59" i="14" s="1"/>
  <c r="Z59" i="13"/>
  <c r="R53" i="57"/>
  <c r="Z65" i="17"/>
  <c r="V65" i="18"/>
  <c r="R65" i="17"/>
  <c r="H22" i="13"/>
  <c r="T27" i="14"/>
  <c r="T30" i="15"/>
  <c r="H25" i="14"/>
  <c r="U28" i="18"/>
  <c r="I23" i="17"/>
  <c r="U41" i="17"/>
  <c r="I36" i="16"/>
  <c r="Z20" i="19"/>
  <c r="X20" i="20"/>
  <c r="Y20" i="20" s="1"/>
  <c r="I53" i="38"/>
  <c r="U58" i="39"/>
  <c r="X21" i="15"/>
  <c r="Y21" i="15" s="1"/>
  <c r="Z21" i="14"/>
  <c r="T41" i="22"/>
  <c r="H36" i="21"/>
  <c r="I59" i="39"/>
  <c r="U64" i="40"/>
  <c r="T13" i="16"/>
  <c r="H8" i="15"/>
  <c r="H12" i="18"/>
  <c r="T17" i="19"/>
  <c r="Z67" i="17"/>
  <c r="V67" i="18"/>
  <c r="R67" i="17"/>
  <c r="X39" i="15"/>
  <c r="Y39" i="15" s="1"/>
  <c r="Z39" i="14"/>
  <c r="U72" i="15"/>
  <c r="V70" i="15"/>
  <c r="Z72" i="15"/>
  <c r="V36" i="18"/>
  <c r="R36" i="17"/>
  <c r="U17" i="19"/>
  <c r="I12" i="18"/>
  <c r="X38" i="13"/>
  <c r="Y38" i="13" s="1"/>
  <c r="Z38" i="12"/>
  <c r="X31" i="16"/>
  <c r="Y31" i="16" s="1"/>
  <c r="Z31" i="15"/>
  <c r="X50" i="13"/>
  <c r="Y50" i="13" s="1"/>
  <c r="Z50" i="12"/>
  <c r="T55" i="30"/>
  <c r="H50" i="29"/>
  <c r="V33" i="27"/>
  <c r="R33" i="26"/>
  <c r="T52" i="18"/>
  <c r="H47" i="17"/>
  <c r="I62" i="16"/>
  <c r="U67" i="17"/>
  <c r="X60" i="14"/>
  <c r="Y60" i="14" s="1"/>
  <c r="Z60" i="13"/>
  <c r="U25" i="20"/>
  <c r="I20" i="19"/>
  <c r="U24" i="40" l="1"/>
  <c r="I19" i="39"/>
  <c r="V27" i="32"/>
  <c r="R27" i="31"/>
  <c r="V34" i="35"/>
  <c r="R34" i="34"/>
  <c r="U16" i="30"/>
  <c r="I11" i="29"/>
  <c r="V14" i="30"/>
  <c r="R14" i="29"/>
  <c r="V16" i="30"/>
  <c r="R16" i="29"/>
  <c r="V32" i="30"/>
  <c r="R32" i="29"/>
  <c r="I55" i="29"/>
  <c r="U60" i="30"/>
  <c r="U20" i="40"/>
  <c r="I15" i="39"/>
  <c r="V39" i="31"/>
  <c r="R39" i="30"/>
  <c r="I39" i="40"/>
  <c r="U44" i="46"/>
  <c r="V21" i="30"/>
  <c r="R21" i="29"/>
  <c r="V26" i="36"/>
  <c r="R26" i="35"/>
  <c r="V51" i="35"/>
  <c r="R51" i="34"/>
  <c r="V50" i="48"/>
  <c r="R50" i="47"/>
  <c r="R31" i="55"/>
  <c r="V31" i="56"/>
  <c r="U32" i="30"/>
  <c r="I27" i="29"/>
  <c r="V38" i="48"/>
  <c r="R38" i="47"/>
  <c r="V43" i="31"/>
  <c r="R43" i="30"/>
  <c r="V15" i="33"/>
  <c r="R15" i="32"/>
  <c r="V20" i="57"/>
  <c r="R20" i="57" s="1"/>
  <c r="R20" i="56"/>
  <c r="V18" i="32"/>
  <c r="R18" i="31"/>
  <c r="I49" i="39"/>
  <c r="U54" i="40"/>
  <c r="U14" i="40"/>
  <c r="I9" i="39"/>
  <c r="U13" i="55"/>
  <c r="I8" i="54"/>
  <c r="V37" i="30"/>
  <c r="R37" i="29"/>
  <c r="I31" i="38"/>
  <c r="U36" i="39"/>
  <c r="V64" i="30"/>
  <c r="R64" i="29"/>
  <c r="V25" i="49"/>
  <c r="R25" i="48"/>
  <c r="V54" i="30"/>
  <c r="R54" i="29"/>
  <c r="V41" i="54"/>
  <c r="R41" i="53"/>
  <c r="X26" i="20"/>
  <c r="Y26" i="20" s="1"/>
  <c r="Z26" i="19"/>
  <c r="U35" i="19"/>
  <c r="I30" i="18"/>
  <c r="AA81" i="25"/>
  <c r="AF16" i="25" s="1"/>
  <c r="AA80" i="26"/>
  <c r="X50" i="14"/>
  <c r="Y50" i="14" s="1"/>
  <c r="Z50" i="13"/>
  <c r="V36" i="19"/>
  <c r="R36" i="18"/>
  <c r="U58" i="40"/>
  <c r="I53" i="39"/>
  <c r="X15" i="14"/>
  <c r="Y15" i="14" s="1"/>
  <c r="Z15" i="13"/>
  <c r="T58" i="26"/>
  <c r="H53" i="25"/>
  <c r="H35" i="15"/>
  <c r="T40" i="16"/>
  <c r="U21" i="18"/>
  <c r="I16" i="17"/>
  <c r="X30" i="14"/>
  <c r="Y30" i="14" s="1"/>
  <c r="Z30" i="13"/>
  <c r="X43" i="16"/>
  <c r="Y43" i="16" s="1"/>
  <c r="Z43" i="15"/>
  <c r="Z32" i="18"/>
  <c r="X32" i="19"/>
  <c r="Y32" i="19" s="1"/>
  <c r="T52" i="19"/>
  <c r="H47" i="18"/>
  <c r="X39" i="16"/>
  <c r="Y39" i="16" s="1"/>
  <c r="Z39" i="15"/>
  <c r="U64" i="46"/>
  <c r="I59" i="40"/>
  <c r="T30" i="16"/>
  <c r="H25" i="15"/>
  <c r="X14" i="14"/>
  <c r="Y14" i="14" s="1"/>
  <c r="Z14" i="13"/>
  <c r="T19" i="24"/>
  <c r="H14" i="23"/>
  <c r="H58" i="30"/>
  <c r="T63" i="31"/>
  <c r="U40" i="47"/>
  <c r="I35" i="46"/>
  <c r="X57" i="17"/>
  <c r="Y57" i="17" s="1"/>
  <c r="Z57" i="16"/>
  <c r="H20" i="19"/>
  <c r="T25" i="20"/>
  <c r="U27" i="19"/>
  <c r="I22" i="18"/>
  <c r="T36" i="21"/>
  <c r="H31" i="20"/>
  <c r="X53" i="15"/>
  <c r="Y53" i="15" s="1"/>
  <c r="Z53" i="14"/>
  <c r="V42" i="26"/>
  <c r="R42" i="25"/>
  <c r="T22" i="22"/>
  <c r="H17" i="21"/>
  <c r="X51" i="16"/>
  <c r="Y51" i="16" s="1"/>
  <c r="Z51" i="15"/>
  <c r="T44" i="19"/>
  <c r="H39" i="18"/>
  <c r="X35" i="15"/>
  <c r="Y35" i="15" s="1"/>
  <c r="Z35" i="14"/>
  <c r="T34" i="17"/>
  <c r="H29" i="16"/>
  <c r="X58" i="14"/>
  <c r="Y58" i="14" s="1"/>
  <c r="Z58" i="13"/>
  <c r="X16" i="17"/>
  <c r="Y16" i="17" s="1"/>
  <c r="Z16" i="16"/>
  <c r="U55" i="17"/>
  <c r="I50" i="16"/>
  <c r="X31" i="17"/>
  <c r="Y31" i="17" s="1"/>
  <c r="Z31" i="16"/>
  <c r="Z20" i="20"/>
  <c r="X20" i="21"/>
  <c r="Y20" i="21" s="1"/>
  <c r="T27" i="15"/>
  <c r="H22" i="14"/>
  <c r="X59" i="15"/>
  <c r="Y59" i="15" s="1"/>
  <c r="Z59" i="14"/>
  <c r="T28" i="21"/>
  <c r="H23" i="20"/>
  <c r="Y74" i="9"/>
  <c r="AG27" i="9"/>
  <c r="X33" i="14"/>
  <c r="Y33" i="14" s="1"/>
  <c r="Z33" i="13"/>
  <c r="T31" i="19"/>
  <c r="H26" i="18"/>
  <c r="U43" i="19"/>
  <c r="I38" i="18"/>
  <c r="V59" i="19"/>
  <c r="R59" i="18"/>
  <c r="X23" i="14"/>
  <c r="Y23" i="14" s="1"/>
  <c r="Z23" i="13"/>
  <c r="U63" i="17"/>
  <c r="I58" i="16"/>
  <c r="X52" i="15"/>
  <c r="Y52" i="15" s="1"/>
  <c r="Z52" i="14"/>
  <c r="T59" i="25"/>
  <c r="H54" i="24"/>
  <c r="U53" i="19"/>
  <c r="I48" i="18"/>
  <c r="X19" i="16"/>
  <c r="Y19" i="16" s="1"/>
  <c r="Z19" i="15"/>
  <c r="T64" i="17"/>
  <c r="H59" i="16"/>
  <c r="T32" i="15"/>
  <c r="H27" i="14"/>
  <c r="T26" i="17"/>
  <c r="H21" i="16"/>
  <c r="V73" i="26"/>
  <c r="R73" i="25"/>
  <c r="Z73" i="25"/>
  <c r="U25" i="21"/>
  <c r="I20" i="20"/>
  <c r="V67" i="19"/>
  <c r="R67" i="18"/>
  <c r="Z67" i="18"/>
  <c r="U15" i="19"/>
  <c r="I10" i="18"/>
  <c r="R52" i="56"/>
  <c r="V52" i="57"/>
  <c r="H52" i="25"/>
  <c r="T57" i="26"/>
  <c r="V49" i="19"/>
  <c r="R49" i="18"/>
  <c r="V22" i="38"/>
  <c r="R22" i="37"/>
  <c r="X61" i="15"/>
  <c r="Y61" i="15" s="1"/>
  <c r="Z61" i="14"/>
  <c r="U19" i="18"/>
  <c r="I14" i="17"/>
  <c r="V33" i="28"/>
  <c r="R33" i="27"/>
  <c r="X38" i="14"/>
  <c r="Y38" i="14" s="1"/>
  <c r="Z38" i="13"/>
  <c r="T41" i="23"/>
  <c r="H36" i="22"/>
  <c r="U29" i="18"/>
  <c r="I24" i="17"/>
  <c r="Y13" i="10"/>
  <c r="X68" i="10"/>
  <c r="X74" i="10" s="1"/>
  <c r="X28" i="16"/>
  <c r="Y28" i="16" s="1"/>
  <c r="Z28" i="15"/>
  <c r="X22" i="14"/>
  <c r="Y22" i="14" s="1"/>
  <c r="Z22" i="13"/>
  <c r="X41" i="15"/>
  <c r="Y41" i="15" s="1"/>
  <c r="Z41" i="14"/>
  <c r="V28" i="35"/>
  <c r="R28" i="34"/>
  <c r="AA77" i="26"/>
  <c r="AA79" i="26" s="1"/>
  <c r="X72" i="27"/>
  <c r="Y72" i="27" s="1"/>
  <c r="T14" i="22"/>
  <c r="H9" i="21"/>
  <c r="X34" i="15"/>
  <c r="Y34" i="15" s="1"/>
  <c r="Z34" i="14"/>
  <c r="X49" i="17"/>
  <c r="Y49" i="17" s="1"/>
  <c r="Z49" i="16"/>
  <c r="R19" i="57"/>
  <c r="X17" i="14"/>
  <c r="Y17" i="14" s="1"/>
  <c r="Z17" i="13"/>
  <c r="X27" i="15"/>
  <c r="Y27" i="15" s="1"/>
  <c r="Z27" i="14"/>
  <c r="X62" i="16"/>
  <c r="Y62" i="16" s="1"/>
  <c r="Z62" i="15"/>
  <c r="T16" i="16"/>
  <c r="H11" i="15"/>
  <c r="T21" i="17"/>
  <c r="H16" i="16"/>
  <c r="R24" i="57"/>
  <c r="U49" i="22"/>
  <c r="I44" i="21"/>
  <c r="U12" i="52"/>
  <c r="I7" i="51"/>
  <c r="T20" i="21"/>
  <c r="H15" i="20"/>
  <c r="H44" i="19"/>
  <c r="T49" i="20"/>
  <c r="X60" i="15"/>
  <c r="Y60" i="15" s="1"/>
  <c r="Z60" i="14"/>
  <c r="V65" i="19"/>
  <c r="R65" i="18"/>
  <c r="Z65" i="18"/>
  <c r="H18" i="17"/>
  <c r="T23" i="18"/>
  <c r="X55" i="16"/>
  <c r="Y55" i="16" s="1"/>
  <c r="Z55" i="15"/>
  <c r="H37" i="23"/>
  <c r="T42" i="24"/>
  <c r="X63" i="14"/>
  <c r="Y63" i="14" s="1"/>
  <c r="Z63" i="13"/>
  <c r="X36" i="16"/>
  <c r="Y36" i="16" s="1"/>
  <c r="Z36" i="15"/>
  <c r="X44" i="15"/>
  <c r="Y44" i="15" s="1"/>
  <c r="Z44" i="14"/>
  <c r="I60" i="16"/>
  <c r="U65" i="17"/>
  <c r="U59" i="24"/>
  <c r="I54" i="23"/>
  <c r="T51" i="18"/>
  <c r="H46" i="17"/>
  <c r="V63" i="19"/>
  <c r="R63" i="18"/>
  <c r="V70" i="16"/>
  <c r="U72" i="16"/>
  <c r="Z72" i="16"/>
  <c r="R62" i="57"/>
  <c r="V56" i="19"/>
  <c r="R56" i="18"/>
  <c r="H12" i="19"/>
  <c r="T17" i="20"/>
  <c r="T29" i="24"/>
  <c r="H24" i="23"/>
  <c r="X66" i="14"/>
  <c r="Y66" i="14" s="1"/>
  <c r="Z66" i="13"/>
  <c r="T53" i="18"/>
  <c r="H48" i="17"/>
  <c r="R44" i="57"/>
  <c r="Y12" i="12"/>
  <c r="V58" i="19"/>
  <c r="R58" i="18"/>
  <c r="T15" i="19"/>
  <c r="H10" i="18"/>
  <c r="U67" i="18"/>
  <c r="I62" i="17"/>
  <c r="H50" i="30"/>
  <c r="T55" i="31"/>
  <c r="U17" i="20"/>
  <c r="I12" i="19"/>
  <c r="X21" i="16"/>
  <c r="Y21" i="16" s="1"/>
  <c r="Z21" i="15"/>
  <c r="T56" i="17"/>
  <c r="H51" i="16"/>
  <c r="V13" i="56"/>
  <c r="R13" i="55"/>
  <c r="U51" i="18"/>
  <c r="I46" i="17"/>
  <c r="T50" i="19"/>
  <c r="H45" i="18"/>
  <c r="T61" i="27"/>
  <c r="H56" i="26"/>
  <c r="U30" i="46"/>
  <c r="I25" i="40"/>
  <c r="U57" i="22"/>
  <c r="I52" i="21"/>
  <c r="X24" i="17"/>
  <c r="Y24" i="17" s="1"/>
  <c r="Z24" i="16"/>
  <c r="AA87" i="9"/>
  <c r="AA88" i="8"/>
  <c r="AF14" i="8" s="1"/>
  <c r="T12" i="20"/>
  <c r="H7" i="19"/>
  <c r="T33" i="23"/>
  <c r="H28" i="22"/>
  <c r="V29" i="19"/>
  <c r="R29" i="18"/>
  <c r="V68" i="18"/>
  <c r="X18" i="16"/>
  <c r="Y18" i="16" s="1"/>
  <c r="Z18" i="15"/>
  <c r="X37" i="14"/>
  <c r="Y37" i="14" s="1"/>
  <c r="Z37" i="13"/>
  <c r="U33" i="20"/>
  <c r="I28" i="19"/>
  <c r="T54" i="18"/>
  <c r="H49" i="17"/>
  <c r="V17" i="33"/>
  <c r="R17" i="32"/>
  <c r="I45" i="38"/>
  <c r="U50" i="39"/>
  <c r="T39" i="26"/>
  <c r="H34" i="25"/>
  <c r="V55" i="40"/>
  <c r="R55" i="39"/>
  <c r="U41" i="18"/>
  <c r="I36" i="17"/>
  <c r="U62" i="47"/>
  <c r="I57" i="46"/>
  <c r="U39" i="23"/>
  <c r="I34" i="22"/>
  <c r="X56" i="14"/>
  <c r="Y56" i="14" s="1"/>
  <c r="Z56" i="13"/>
  <c r="X40" i="14"/>
  <c r="Y40" i="14" s="1"/>
  <c r="Z40" i="13"/>
  <c r="U28" i="19"/>
  <c r="I23" i="18"/>
  <c r="U18" i="23"/>
  <c r="I13" i="22"/>
  <c r="T60" i="19"/>
  <c r="H55" i="18"/>
  <c r="X54" i="16"/>
  <c r="Y54" i="16" s="1"/>
  <c r="Z54" i="15"/>
  <c r="U66" i="23"/>
  <c r="I61" i="22"/>
  <c r="V66" i="19"/>
  <c r="R66" i="18"/>
  <c r="V12" i="30"/>
  <c r="R12" i="29"/>
  <c r="U31" i="19"/>
  <c r="I26" i="18"/>
  <c r="X64" i="14"/>
  <c r="Y64" i="14" s="1"/>
  <c r="Z64" i="13"/>
  <c r="U22" i="48"/>
  <c r="I17" i="47"/>
  <c r="U61" i="19"/>
  <c r="I56" i="18"/>
  <c r="V72" i="17"/>
  <c r="U73" i="17"/>
  <c r="U74" i="17"/>
  <c r="R68" i="17"/>
  <c r="X29" i="14"/>
  <c r="Y29" i="14" s="1"/>
  <c r="Z29" i="13"/>
  <c r="U56" i="50"/>
  <c r="I51" i="49"/>
  <c r="H57" i="30"/>
  <c r="T62" i="31"/>
  <c r="U42" i="20"/>
  <c r="I37" i="19"/>
  <c r="T24" i="24"/>
  <c r="H19" i="23"/>
  <c r="I18" i="22"/>
  <c r="U23" i="23"/>
  <c r="T18" i="19"/>
  <c r="H13" i="18"/>
  <c r="H38" i="21"/>
  <c r="T43" i="22"/>
  <c r="T13" i="17"/>
  <c r="H8" i="16"/>
  <c r="T35" i="22"/>
  <c r="H30" i="21"/>
  <c r="U26" i="28"/>
  <c r="I21" i="27"/>
  <c r="U38" i="22"/>
  <c r="I33" i="21"/>
  <c r="V60" i="19"/>
  <c r="R60" i="18"/>
  <c r="I29" i="40"/>
  <c r="U34" i="46"/>
  <c r="X25" i="14"/>
  <c r="Y25" i="14" s="1"/>
  <c r="Z25" i="13"/>
  <c r="U37" i="18"/>
  <c r="I32" i="17"/>
  <c r="T37" i="17"/>
  <c r="H32" i="16"/>
  <c r="T38" i="22"/>
  <c r="H33" i="21"/>
  <c r="U52" i="23"/>
  <c r="I47" i="22"/>
  <c r="X42" i="19"/>
  <c r="Y42" i="19" s="1"/>
  <c r="Z42" i="18"/>
  <c r="V31" i="57" l="1"/>
  <c r="R31" i="57" s="1"/>
  <c r="R31" i="56"/>
  <c r="U60" i="31"/>
  <c r="I55" i="30"/>
  <c r="V64" i="31"/>
  <c r="R64" i="30"/>
  <c r="U14" i="46"/>
  <c r="I9" i="40"/>
  <c r="V15" i="34"/>
  <c r="R15" i="33"/>
  <c r="V21" i="31"/>
  <c r="R21" i="30"/>
  <c r="U16" i="31"/>
  <c r="I11" i="30"/>
  <c r="U36" i="40"/>
  <c r="I31" i="39"/>
  <c r="R41" i="54"/>
  <c r="V41" i="55"/>
  <c r="V43" i="32"/>
  <c r="R43" i="31"/>
  <c r="V50" i="49"/>
  <c r="R50" i="48"/>
  <c r="V32" i="31"/>
  <c r="R32" i="30"/>
  <c r="V34" i="36"/>
  <c r="R34" i="35"/>
  <c r="U44" i="47"/>
  <c r="I39" i="46"/>
  <c r="V54" i="31"/>
  <c r="R54" i="30"/>
  <c r="V37" i="31"/>
  <c r="R37" i="30"/>
  <c r="V18" i="33"/>
  <c r="R18" i="32"/>
  <c r="V38" i="49"/>
  <c r="R38" i="48"/>
  <c r="V51" i="36"/>
  <c r="R51" i="35"/>
  <c r="V39" i="32"/>
  <c r="R39" i="31"/>
  <c r="V16" i="31"/>
  <c r="R16" i="30"/>
  <c r="V27" i="33"/>
  <c r="R27" i="32"/>
  <c r="U54" i="46"/>
  <c r="I49" i="40"/>
  <c r="V25" i="50"/>
  <c r="R25" i="49"/>
  <c r="U13" i="56"/>
  <c r="I8" i="55"/>
  <c r="I27" i="30"/>
  <c r="U32" i="31"/>
  <c r="V26" i="37"/>
  <c r="R26" i="36"/>
  <c r="U20" i="46"/>
  <c r="I15" i="40"/>
  <c r="V14" i="31"/>
  <c r="R14" i="30"/>
  <c r="U24" i="46"/>
  <c r="I19" i="40"/>
  <c r="U52" i="24"/>
  <c r="I47" i="23"/>
  <c r="X49" i="18"/>
  <c r="Y49" i="18" s="1"/>
  <c r="Z49" i="17"/>
  <c r="T17" i="21"/>
  <c r="H12" i="20"/>
  <c r="T49" i="21"/>
  <c r="H44" i="20"/>
  <c r="X28" i="17"/>
  <c r="Y28" i="17" s="1"/>
  <c r="Z28" i="16"/>
  <c r="V67" i="20"/>
  <c r="R67" i="19"/>
  <c r="Z67" i="19"/>
  <c r="U63" i="18"/>
  <c r="I58" i="17"/>
  <c r="T25" i="21"/>
  <c r="H20" i="20"/>
  <c r="V36" i="20"/>
  <c r="R36" i="19"/>
  <c r="T38" i="23"/>
  <c r="H33" i="22"/>
  <c r="X37" i="15"/>
  <c r="Y37" i="15" s="1"/>
  <c r="Z37" i="14"/>
  <c r="X24" i="18"/>
  <c r="Y24" i="18" s="1"/>
  <c r="Z24" i="17"/>
  <c r="X27" i="16"/>
  <c r="Y27" i="16" s="1"/>
  <c r="Z27" i="15"/>
  <c r="X34" i="16"/>
  <c r="Y34" i="16" s="1"/>
  <c r="Z34" i="15"/>
  <c r="T31" i="20"/>
  <c r="H26" i="19"/>
  <c r="X59" i="16"/>
  <c r="Y59" i="16" s="1"/>
  <c r="Z59" i="15"/>
  <c r="U55" i="18"/>
  <c r="I50" i="17"/>
  <c r="T34" i="18"/>
  <c r="H29" i="17"/>
  <c r="T22" i="23"/>
  <c r="H17" i="22"/>
  <c r="U64" i="47"/>
  <c r="I59" i="46"/>
  <c r="X43" i="17"/>
  <c r="Y43" i="17" s="1"/>
  <c r="Z43" i="16"/>
  <c r="T58" i="27"/>
  <c r="H53" i="26"/>
  <c r="T29" i="25"/>
  <c r="H24" i="24"/>
  <c r="AA80" i="27"/>
  <c r="AA81" i="26"/>
  <c r="AF16" i="26" s="1"/>
  <c r="U38" i="23"/>
  <c r="I33" i="22"/>
  <c r="T56" i="18"/>
  <c r="H51" i="17"/>
  <c r="T51" i="19"/>
  <c r="H46" i="18"/>
  <c r="X55" i="17"/>
  <c r="Y55" i="17" s="1"/>
  <c r="Z55" i="16"/>
  <c r="V73" i="27"/>
  <c r="R73" i="26"/>
  <c r="Z73" i="26"/>
  <c r="T36" i="22"/>
  <c r="H31" i="21"/>
  <c r="T63" i="32"/>
  <c r="H58" i="31"/>
  <c r="X26" i="21"/>
  <c r="Y26" i="21" s="1"/>
  <c r="Z26" i="20"/>
  <c r="X25" i="15"/>
  <c r="Y25" i="15" s="1"/>
  <c r="Z25" i="14"/>
  <c r="H57" i="31"/>
  <c r="T62" i="32"/>
  <c r="Z72" i="17"/>
  <c r="U72" i="17"/>
  <c r="V70" i="17"/>
  <c r="U31" i="20"/>
  <c r="I26" i="19"/>
  <c r="T33" i="24"/>
  <c r="H28" i="23"/>
  <c r="T50" i="20"/>
  <c r="H45" i="19"/>
  <c r="T23" i="19"/>
  <c r="H18" i="18"/>
  <c r="U34" i="47"/>
  <c r="I29" i="46"/>
  <c r="U26" i="29"/>
  <c r="I21" i="28"/>
  <c r="T18" i="20"/>
  <c r="H13" i="19"/>
  <c r="V66" i="20"/>
  <c r="R66" i="19"/>
  <c r="U18" i="24"/>
  <c r="I13" i="23"/>
  <c r="U39" i="24"/>
  <c r="I34" i="23"/>
  <c r="V55" i="46"/>
  <c r="R55" i="40"/>
  <c r="X21" i="17"/>
  <c r="Y21" i="17" s="1"/>
  <c r="Z21" i="16"/>
  <c r="T15" i="20"/>
  <c r="H10" i="19"/>
  <c r="I54" i="24"/>
  <c r="U59" i="25"/>
  <c r="X63" i="15"/>
  <c r="Y63" i="15" s="1"/>
  <c r="Z63" i="14"/>
  <c r="V28" i="36"/>
  <c r="R28" i="35"/>
  <c r="X13" i="11"/>
  <c r="Z13" i="10"/>
  <c r="Z68" i="10" s="1"/>
  <c r="Z74" i="10" s="1"/>
  <c r="Z70" i="10" s="1"/>
  <c r="Y68" i="10"/>
  <c r="X38" i="15"/>
  <c r="Y38" i="15" s="1"/>
  <c r="Z38" i="14"/>
  <c r="R52" i="57"/>
  <c r="U25" i="22"/>
  <c r="I20" i="21"/>
  <c r="T26" i="18"/>
  <c r="H21" i="17"/>
  <c r="U53" i="20"/>
  <c r="I48" i="19"/>
  <c r="X23" i="15"/>
  <c r="Y23" i="15" s="1"/>
  <c r="Z23" i="14"/>
  <c r="U27" i="20"/>
  <c r="I22" i="19"/>
  <c r="X50" i="15"/>
  <c r="Y50" i="15" s="1"/>
  <c r="Z50" i="14"/>
  <c r="T43" i="23"/>
  <c r="H38" i="22"/>
  <c r="V12" i="31"/>
  <c r="R12" i="30"/>
  <c r="V29" i="20"/>
  <c r="R29" i="19"/>
  <c r="V68" i="19"/>
  <c r="T60" i="20"/>
  <c r="H55" i="19"/>
  <c r="X36" i="17"/>
  <c r="Y36" i="17" s="1"/>
  <c r="Z36" i="16"/>
  <c r="X18" i="17"/>
  <c r="Y18" i="17" s="1"/>
  <c r="Z18" i="16"/>
  <c r="I46" i="18"/>
  <c r="U51" i="19"/>
  <c r="T21" i="18"/>
  <c r="H16" i="17"/>
  <c r="T27" i="16"/>
  <c r="H22" i="15"/>
  <c r="X35" i="16"/>
  <c r="Y35" i="16" s="1"/>
  <c r="Z35" i="15"/>
  <c r="T19" i="25"/>
  <c r="H14" i="24"/>
  <c r="T35" i="23"/>
  <c r="H30" i="22"/>
  <c r="U66" i="24"/>
  <c r="I61" i="23"/>
  <c r="U28" i="20"/>
  <c r="I23" i="19"/>
  <c r="U62" i="48"/>
  <c r="I57" i="47"/>
  <c r="H34" i="26"/>
  <c r="T39" i="27"/>
  <c r="U17" i="21"/>
  <c r="I12" i="20"/>
  <c r="V56" i="20"/>
  <c r="R56" i="19"/>
  <c r="X41" i="16"/>
  <c r="Y41" i="16" s="1"/>
  <c r="Z41" i="15"/>
  <c r="U29" i="19"/>
  <c r="I24" i="18"/>
  <c r="T32" i="16"/>
  <c r="H27" i="15"/>
  <c r="T59" i="26"/>
  <c r="H54" i="25"/>
  <c r="X20" i="22"/>
  <c r="Y20" i="22" s="1"/>
  <c r="Z20" i="21"/>
  <c r="V42" i="27"/>
  <c r="R42" i="26"/>
  <c r="U37" i="19"/>
  <c r="I32" i="18"/>
  <c r="X64" i="15"/>
  <c r="Y64" i="15" s="1"/>
  <c r="Z64" i="14"/>
  <c r="T61" i="28"/>
  <c r="H56" i="27"/>
  <c r="X60" i="16"/>
  <c r="Y60" i="16" s="1"/>
  <c r="Z60" i="15"/>
  <c r="T57" i="27"/>
  <c r="H52" i="26"/>
  <c r="U42" i="21"/>
  <c r="I37" i="20"/>
  <c r="T37" i="18"/>
  <c r="H32" i="17"/>
  <c r="U23" i="24"/>
  <c r="I18" i="23"/>
  <c r="T20" i="22"/>
  <c r="H15" i="21"/>
  <c r="X17" i="15"/>
  <c r="Y17" i="15" s="1"/>
  <c r="Z17" i="14"/>
  <c r="V22" i="39"/>
  <c r="R22" i="38"/>
  <c r="X33" i="15"/>
  <c r="Y33" i="15" s="1"/>
  <c r="Z33" i="14"/>
  <c r="X16" i="18"/>
  <c r="Y16" i="18" s="1"/>
  <c r="Z16" i="17"/>
  <c r="X39" i="17"/>
  <c r="Y39" i="17" s="1"/>
  <c r="Z39" i="16"/>
  <c r="X30" i="15"/>
  <c r="Y30" i="15" s="1"/>
  <c r="Z30" i="14"/>
  <c r="X42" i="20"/>
  <c r="Y42" i="20" s="1"/>
  <c r="Z42" i="19"/>
  <c r="U50" i="40"/>
  <c r="I45" i="39"/>
  <c r="T54" i="19"/>
  <c r="H49" i="18"/>
  <c r="V72" i="18"/>
  <c r="R68" i="18"/>
  <c r="U74" i="18"/>
  <c r="U73" i="18"/>
  <c r="T12" i="21"/>
  <c r="H7" i="20"/>
  <c r="U30" i="47"/>
  <c r="I25" i="46"/>
  <c r="H50" i="31"/>
  <c r="T55" i="32"/>
  <c r="V58" i="20"/>
  <c r="R58" i="19"/>
  <c r="X66" i="15"/>
  <c r="Y66" i="15" s="1"/>
  <c r="Z66" i="14"/>
  <c r="T42" i="25"/>
  <c r="H37" i="24"/>
  <c r="V65" i="20"/>
  <c r="R65" i="19"/>
  <c r="Z65" i="19"/>
  <c r="U12" i="53"/>
  <c r="I7" i="52"/>
  <c r="T16" i="17"/>
  <c r="H11" i="16"/>
  <c r="AA77" i="27"/>
  <c r="AA79" i="27" s="1"/>
  <c r="X72" i="28"/>
  <c r="Y72" i="28" s="1"/>
  <c r="V33" i="29"/>
  <c r="R33" i="28"/>
  <c r="U15" i="20"/>
  <c r="I10" i="19"/>
  <c r="V59" i="20"/>
  <c r="R59" i="19"/>
  <c r="AA84" i="9"/>
  <c r="AA86" i="9" s="1"/>
  <c r="V78" i="9"/>
  <c r="V79" i="9" s="1"/>
  <c r="Y70" i="9"/>
  <c r="X58" i="15"/>
  <c r="Y58" i="15" s="1"/>
  <c r="Z58" i="14"/>
  <c r="T44" i="20"/>
  <c r="H39" i="19"/>
  <c r="Z57" i="17"/>
  <c r="X57" i="18"/>
  <c r="Y57" i="18" s="1"/>
  <c r="X14" i="15"/>
  <c r="Y14" i="15" s="1"/>
  <c r="Z14" i="14"/>
  <c r="H47" i="19"/>
  <c r="T52" i="20"/>
  <c r="U21" i="19"/>
  <c r="I16" i="18"/>
  <c r="U58" i="46"/>
  <c r="I53" i="40"/>
  <c r="I38" i="19"/>
  <c r="U43" i="20"/>
  <c r="X29" i="15"/>
  <c r="Y29" i="15" s="1"/>
  <c r="Z29" i="14"/>
  <c r="X56" i="15"/>
  <c r="Y56" i="15" s="1"/>
  <c r="Z56" i="14"/>
  <c r="U67" i="19"/>
  <c r="I62" i="18"/>
  <c r="I56" i="19"/>
  <c r="U61" i="20"/>
  <c r="V17" i="34"/>
  <c r="R17" i="33"/>
  <c r="I52" i="22"/>
  <c r="U57" i="23"/>
  <c r="T53" i="19"/>
  <c r="H48" i="18"/>
  <c r="U65" i="18"/>
  <c r="I60" i="17"/>
  <c r="T14" i="23"/>
  <c r="H9" i="22"/>
  <c r="X15" i="15"/>
  <c r="Y15" i="15" s="1"/>
  <c r="Z15" i="14"/>
  <c r="I17" i="48"/>
  <c r="U22" i="49"/>
  <c r="V60" i="20"/>
  <c r="R60" i="19"/>
  <c r="T13" i="18"/>
  <c r="H8" i="17"/>
  <c r="T24" i="25"/>
  <c r="H19" i="24"/>
  <c r="U56" i="51"/>
  <c r="I51" i="50"/>
  <c r="X54" i="17"/>
  <c r="Y54" i="17" s="1"/>
  <c r="Z54" i="16"/>
  <c r="X40" i="15"/>
  <c r="Y40" i="15" s="1"/>
  <c r="Z40" i="14"/>
  <c r="U41" i="19"/>
  <c r="I36" i="18"/>
  <c r="V13" i="57"/>
  <c r="R13" i="56"/>
  <c r="V63" i="20"/>
  <c r="R63" i="19"/>
  <c r="X44" i="16"/>
  <c r="Y44" i="16" s="1"/>
  <c r="Z44" i="15"/>
  <c r="X22" i="15"/>
  <c r="Y22" i="15" s="1"/>
  <c r="Z22" i="14"/>
  <c r="T41" i="24"/>
  <c r="H36" i="23"/>
  <c r="X61" i="16"/>
  <c r="Y61" i="16" s="1"/>
  <c r="Z61" i="15"/>
  <c r="V49" i="20"/>
  <c r="R49" i="19"/>
  <c r="T64" i="18"/>
  <c r="H59" i="17"/>
  <c r="X52" i="16"/>
  <c r="Y52" i="16" s="1"/>
  <c r="Z52" i="15"/>
  <c r="X53" i="16"/>
  <c r="Y53" i="16" s="1"/>
  <c r="Z53" i="15"/>
  <c r="X32" i="20"/>
  <c r="Y32" i="20" s="1"/>
  <c r="Z32" i="19"/>
  <c r="H35" i="16"/>
  <c r="T40" i="17"/>
  <c r="U35" i="20"/>
  <c r="I30" i="19"/>
  <c r="X12" i="13"/>
  <c r="Z12" i="12"/>
  <c r="U49" i="23"/>
  <c r="I44" i="22"/>
  <c r="U19" i="19"/>
  <c r="I14" i="18"/>
  <c r="T28" i="22"/>
  <c r="H23" i="21"/>
  <c r="Z31" i="17"/>
  <c r="X31" i="18"/>
  <c r="Y31" i="18" s="1"/>
  <c r="X51" i="17"/>
  <c r="Y51" i="17" s="1"/>
  <c r="Z51" i="16"/>
  <c r="U40" i="48"/>
  <c r="I35" i="47"/>
  <c r="T30" i="17"/>
  <c r="H25" i="16"/>
  <c r="U33" i="21"/>
  <c r="I28" i="20"/>
  <c r="X62" i="17"/>
  <c r="Y62" i="17" s="1"/>
  <c r="Z62" i="16"/>
  <c r="X19" i="17"/>
  <c r="Y19" i="17" s="1"/>
  <c r="Z19" i="16"/>
  <c r="U20" i="47" l="1"/>
  <c r="I15" i="46"/>
  <c r="V25" i="51"/>
  <c r="R25" i="50"/>
  <c r="V39" i="33"/>
  <c r="R39" i="32"/>
  <c r="V37" i="32"/>
  <c r="R37" i="31"/>
  <c r="V32" i="32"/>
  <c r="R32" i="31"/>
  <c r="I31" i="40"/>
  <c r="U36" i="46"/>
  <c r="U14" i="47"/>
  <c r="I9" i="46"/>
  <c r="V26" i="38"/>
  <c r="R26" i="37"/>
  <c r="U54" i="47"/>
  <c r="I49" i="46"/>
  <c r="V51" i="37"/>
  <c r="R51" i="36"/>
  <c r="V54" i="32"/>
  <c r="R54" i="31"/>
  <c r="V50" i="50"/>
  <c r="R50" i="49"/>
  <c r="U16" i="32"/>
  <c r="I11" i="31"/>
  <c r="V64" i="32"/>
  <c r="R64" i="31"/>
  <c r="U32" i="32"/>
  <c r="I27" i="31"/>
  <c r="U24" i="47"/>
  <c r="I19" i="46"/>
  <c r="V27" i="34"/>
  <c r="R27" i="33"/>
  <c r="V38" i="50"/>
  <c r="R38" i="49"/>
  <c r="I39" i="47"/>
  <c r="U44" i="48"/>
  <c r="V43" i="33"/>
  <c r="R43" i="32"/>
  <c r="V21" i="32"/>
  <c r="R21" i="31"/>
  <c r="I55" i="31"/>
  <c r="U60" i="32"/>
  <c r="V41" i="56"/>
  <c r="R41" i="55"/>
  <c r="V14" i="32"/>
  <c r="R14" i="31"/>
  <c r="U13" i="57"/>
  <c r="I8" i="57" s="1"/>
  <c r="I8" i="56"/>
  <c r="V16" i="32"/>
  <c r="R16" i="31"/>
  <c r="V18" i="34"/>
  <c r="R18" i="33"/>
  <c r="V34" i="37"/>
  <c r="R34" i="36"/>
  <c r="V15" i="35"/>
  <c r="R15" i="34"/>
  <c r="X52" i="17"/>
  <c r="Y52" i="17" s="1"/>
  <c r="Z52" i="16"/>
  <c r="T59" i="27"/>
  <c r="H54" i="26"/>
  <c r="V49" i="21"/>
  <c r="R49" i="20"/>
  <c r="U41" i="20"/>
  <c r="I36" i="19"/>
  <c r="X56" i="16"/>
  <c r="Y56" i="16" s="1"/>
  <c r="Z56" i="15"/>
  <c r="U21" i="20"/>
  <c r="I16" i="19"/>
  <c r="V33" i="30"/>
  <c r="R33" i="29"/>
  <c r="T20" i="23"/>
  <c r="H15" i="22"/>
  <c r="T37" i="19"/>
  <c r="H32" i="18"/>
  <c r="U28" i="21"/>
  <c r="I23" i="20"/>
  <c r="X18" i="18"/>
  <c r="Y18" i="18" s="1"/>
  <c r="Z18" i="17"/>
  <c r="I48" i="20"/>
  <c r="U53" i="21"/>
  <c r="Y12" i="13"/>
  <c r="X53" i="17"/>
  <c r="Y53" i="17" s="1"/>
  <c r="Z53" i="16"/>
  <c r="U65" i="19"/>
  <c r="I60" i="18"/>
  <c r="U61" i="21"/>
  <c r="I56" i="20"/>
  <c r="T52" i="21"/>
  <c r="H47" i="20"/>
  <c r="V58" i="21"/>
  <c r="R58" i="20"/>
  <c r="X42" i="21"/>
  <c r="Y42" i="21" s="1"/>
  <c r="Z42" i="20"/>
  <c r="X33" i="16"/>
  <c r="Y33" i="16" s="1"/>
  <c r="Z33" i="15"/>
  <c r="X20" i="23"/>
  <c r="Y20" i="23" s="1"/>
  <c r="Z20" i="22"/>
  <c r="U29" i="20"/>
  <c r="I24" i="19"/>
  <c r="X25" i="16"/>
  <c r="Y25" i="16" s="1"/>
  <c r="Z25" i="15"/>
  <c r="T51" i="20"/>
  <c r="H46" i="19"/>
  <c r="T29" i="26"/>
  <c r="H24" i="25"/>
  <c r="T22" i="24"/>
  <c r="H17" i="23"/>
  <c r="T31" i="21"/>
  <c r="H26" i="20"/>
  <c r="T25" i="22"/>
  <c r="H20" i="21"/>
  <c r="V63" i="21"/>
  <c r="R63" i="20"/>
  <c r="U43" i="21"/>
  <c r="I38" i="20"/>
  <c r="X41" i="17"/>
  <c r="Y41" i="17" s="1"/>
  <c r="Z41" i="16"/>
  <c r="I54" i="25"/>
  <c r="U59" i="26"/>
  <c r="T24" i="26"/>
  <c r="H19" i="25"/>
  <c r="X35" i="17"/>
  <c r="Y35" i="17" s="1"/>
  <c r="Z35" i="16"/>
  <c r="T30" i="18"/>
  <c r="H25" i="17"/>
  <c r="T28" i="23"/>
  <c r="H23" i="22"/>
  <c r="X61" i="17"/>
  <c r="Y61" i="17" s="1"/>
  <c r="Z61" i="16"/>
  <c r="X40" i="16"/>
  <c r="Y40" i="16" s="1"/>
  <c r="Z40" i="15"/>
  <c r="T13" i="19"/>
  <c r="H8" i="18"/>
  <c r="X29" i="16"/>
  <c r="Y29" i="16" s="1"/>
  <c r="Z29" i="15"/>
  <c r="AA77" i="28"/>
  <c r="AA79" i="28" s="1"/>
  <c r="X72" i="29"/>
  <c r="Y72" i="29" s="1"/>
  <c r="V65" i="21"/>
  <c r="R65" i="20"/>
  <c r="Z65" i="20"/>
  <c r="T55" i="33"/>
  <c r="H50" i="32"/>
  <c r="U42" i="22"/>
  <c r="I37" i="21"/>
  <c r="X64" i="16"/>
  <c r="Y64" i="16" s="1"/>
  <c r="Z64" i="15"/>
  <c r="I12" i="21"/>
  <c r="U17" i="22"/>
  <c r="U66" i="25"/>
  <c r="I61" i="24"/>
  <c r="T27" i="17"/>
  <c r="H22" i="16"/>
  <c r="X36" i="18"/>
  <c r="Y36" i="18" s="1"/>
  <c r="Z36" i="17"/>
  <c r="V29" i="21"/>
  <c r="R29" i="20"/>
  <c r="V68" i="20"/>
  <c r="X50" i="16"/>
  <c r="Y50" i="16" s="1"/>
  <c r="Z50" i="15"/>
  <c r="T26" i="19"/>
  <c r="H21" i="18"/>
  <c r="X38" i="16"/>
  <c r="Y38" i="16" s="1"/>
  <c r="Z38" i="15"/>
  <c r="X63" i="16"/>
  <c r="Y63" i="16" s="1"/>
  <c r="Z63" i="15"/>
  <c r="V66" i="21"/>
  <c r="R66" i="20"/>
  <c r="U34" i="48"/>
  <c r="I29" i="47"/>
  <c r="U31" i="21"/>
  <c r="I26" i="20"/>
  <c r="X37" i="16"/>
  <c r="Y37" i="16" s="1"/>
  <c r="Z37" i="15"/>
  <c r="T49" i="22"/>
  <c r="H44" i="21"/>
  <c r="V70" i="18"/>
  <c r="U72" i="18"/>
  <c r="Z72" i="18"/>
  <c r="Y74" i="10"/>
  <c r="AG27" i="10"/>
  <c r="V55" i="47"/>
  <c r="R55" i="46"/>
  <c r="X26" i="22"/>
  <c r="Y26" i="22" s="1"/>
  <c r="Z26" i="21"/>
  <c r="T58" i="28"/>
  <c r="H53" i="27"/>
  <c r="T34" i="19"/>
  <c r="H29" i="18"/>
  <c r="X34" i="17"/>
  <c r="Y34" i="17" s="1"/>
  <c r="Z34" i="16"/>
  <c r="U63" i="19"/>
  <c r="I58" i="18"/>
  <c r="X19" i="18"/>
  <c r="Y19" i="18" s="1"/>
  <c r="Z19" i="17"/>
  <c r="I35" i="48"/>
  <c r="U40" i="49"/>
  <c r="U19" i="20"/>
  <c r="I14" i="19"/>
  <c r="T40" i="18"/>
  <c r="H35" i="17"/>
  <c r="T41" i="25"/>
  <c r="H36" i="24"/>
  <c r="X54" i="18"/>
  <c r="Y54" i="18" s="1"/>
  <c r="Z54" i="17"/>
  <c r="U57" i="24"/>
  <c r="I52" i="23"/>
  <c r="X14" i="16"/>
  <c r="Y14" i="16" s="1"/>
  <c r="Z14" i="15"/>
  <c r="T42" i="26"/>
  <c r="H37" i="25"/>
  <c r="V22" i="40"/>
  <c r="R22" i="39"/>
  <c r="H52" i="27"/>
  <c r="T57" i="28"/>
  <c r="U37" i="20"/>
  <c r="I32" i="19"/>
  <c r="T35" i="24"/>
  <c r="H30" i="23"/>
  <c r="T21" i="19"/>
  <c r="H16" i="18"/>
  <c r="U27" i="21"/>
  <c r="I22" i="20"/>
  <c r="U25" i="23"/>
  <c r="I20" i="22"/>
  <c r="T23" i="20"/>
  <c r="H18" i="19"/>
  <c r="T38" i="24"/>
  <c r="H33" i="23"/>
  <c r="T17" i="22"/>
  <c r="H12" i="21"/>
  <c r="T44" i="21"/>
  <c r="H39" i="20"/>
  <c r="X30" i="16"/>
  <c r="Y30" i="16" s="1"/>
  <c r="Z30" i="15"/>
  <c r="Z57" i="18"/>
  <c r="X57" i="19"/>
  <c r="Y57" i="19" s="1"/>
  <c r="T54" i="20"/>
  <c r="H49" i="19"/>
  <c r="U51" i="20"/>
  <c r="I46" i="19"/>
  <c r="Y13" i="11"/>
  <c r="X68" i="11"/>
  <c r="X74" i="11" s="1"/>
  <c r="U39" i="25"/>
  <c r="I34" i="24"/>
  <c r="T63" i="33"/>
  <c r="H58" i="32"/>
  <c r="U38" i="24"/>
  <c r="I33" i="23"/>
  <c r="X43" i="18"/>
  <c r="Y43" i="18" s="1"/>
  <c r="Z43" i="17"/>
  <c r="U55" i="19"/>
  <c r="I50" i="18"/>
  <c r="X27" i="17"/>
  <c r="Y27" i="17" s="1"/>
  <c r="Z27" i="16"/>
  <c r="U35" i="21"/>
  <c r="I30" i="20"/>
  <c r="H34" i="27"/>
  <c r="T39" i="28"/>
  <c r="V73" i="28"/>
  <c r="R73" i="27"/>
  <c r="Z73" i="27"/>
  <c r="X58" i="16"/>
  <c r="Y58" i="16" s="1"/>
  <c r="Z58" i="15"/>
  <c r="U15" i="21"/>
  <c r="I10" i="20"/>
  <c r="X39" i="18"/>
  <c r="Y39" i="18" s="1"/>
  <c r="Z39" i="17"/>
  <c r="T32" i="17"/>
  <c r="H27" i="16"/>
  <c r="X62" i="18"/>
  <c r="Y62" i="18" s="1"/>
  <c r="Z62" i="17"/>
  <c r="X51" i="18"/>
  <c r="Y51" i="18" s="1"/>
  <c r="Z51" i="17"/>
  <c r="U49" i="24"/>
  <c r="I44" i="23"/>
  <c r="X22" i="16"/>
  <c r="Y22" i="16" s="1"/>
  <c r="Z22" i="15"/>
  <c r="R13" i="57"/>
  <c r="U56" i="52"/>
  <c r="I51" i="51"/>
  <c r="U22" i="50"/>
  <c r="I17" i="49"/>
  <c r="U67" i="20"/>
  <c r="I62" i="19"/>
  <c r="U58" i="47"/>
  <c r="I53" i="46"/>
  <c r="X66" i="16"/>
  <c r="Y66" i="16" s="1"/>
  <c r="Z66" i="15"/>
  <c r="X17" i="16"/>
  <c r="Y17" i="16" s="1"/>
  <c r="Z17" i="15"/>
  <c r="U23" i="25"/>
  <c r="I18" i="24"/>
  <c r="X60" i="17"/>
  <c r="Y60" i="17" s="1"/>
  <c r="Z60" i="16"/>
  <c r="I57" i="48"/>
  <c r="U62" i="49"/>
  <c r="T19" i="26"/>
  <c r="H14" i="25"/>
  <c r="T60" i="21"/>
  <c r="H55" i="20"/>
  <c r="V12" i="32"/>
  <c r="R12" i="31"/>
  <c r="X23" i="16"/>
  <c r="Y23" i="16" s="1"/>
  <c r="Z23" i="15"/>
  <c r="T15" i="21"/>
  <c r="H10" i="20"/>
  <c r="T18" i="21"/>
  <c r="H13" i="20"/>
  <c r="T50" i="21"/>
  <c r="H45" i="20"/>
  <c r="H57" i="32"/>
  <c r="T62" i="33"/>
  <c r="V67" i="21"/>
  <c r="R67" i="20"/>
  <c r="Z67" i="20"/>
  <c r="X49" i="19"/>
  <c r="Y49" i="19" s="1"/>
  <c r="Z49" i="18"/>
  <c r="X15" i="16"/>
  <c r="Y15" i="16" s="1"/>
  <c r="Z15" i="15"/>
  <c r="AA80" i="28"/>
  <c r="AA81" i="27"/>
  <c r="AF16" i="27" s="1"/>
  <c r="H51" i="18"/>
  <c r="T56" i="19"/>
  <c r="T64" i="19"/>
  <c r="H59" i="18"/>
  <c r="V60" i="21"/>
  <c r="R60" i="20"/>
  <c r="T16" i="18"/>
  <c r="H11" i="17"/>
  <c r="U30" i="48"/>
  <c r="I25" i="47"/>
  <c r="X31" i="19"/>
  <c r="Y31" i="19" s="1"/>
  <c r="Z31" i="18"/>
  <c r="X32" i="21"/>
  <c r="Y32" i="21" s="1"/>
  <c r="Z32" i="20"/>
  <c r="T14" i="24"/>
  <c r="H9" i="23"/>
  <c r="U12" i="54"/>
  <c r="I7" i="53"/>
  <c r="T12" i="22"/>
  <c r="H7" i="21"/>
  <c r="I45" i="40"/>
  <c r="U50" i="46"/>
  <c r="Z16" i="18"/>
  <c r="X16" i="19"/>
  <c r="Y16" i="19" s="1"/>
  <c r="V42" i="28"/>
  <c r="R42" i="27"/>
  <c r="U18" i="25"/>
  <c r="I13" i="24"/>
  <c r="T36" i="23"/>
  <c r="H31" i="22"/>
  <c r="X55" i="18"/>
  <c r="Y55" i="18" s="1"/>
  <c r="Z55" i="17"/>
  <c r="U64" i="48"/>
  <c r="I59" i="47"/>
  <c r="X59" i="17"/>
  <c r="Y59" i="17" s="1"/>
  <c r="Z59" i="16"/>
  <c r="V36" i="21"/>
  <c r="R36" i="20"/>
  <c r="T53" i="20"/>
  <c r="H48" i="19"/>
  <c r="V59" i="21"/>
  <c r="R59" i="20"/>
  <c r="U33" i="22"/>
  <c r="I28" i="21"/>
  <c r="X44" i="17"/>
  <c r="Y44" i="17" s="1"/>
  <c r="Z44" i="16"/>
  <c r="V17" i="35"/>
  <c r="R17" i="34"/>
  <c r="AA88" i="9"/>
  <c r="AF14" i="9" s="1"/>
  <c r="AA87" i="10"/>
  <c r="T61" i="29"/>
  <c r="H56" i="28"/>
  <c r="R56" i="20"/>
  <c r="V56" i="21"/>
  <c r="U74" i="19"/>
  <c r="R68" i="19"/>
  <c r="V72" i="19"/>
  <c r="U73" i="19"/>
  <c r="T43" i="24"/>
  <c r="H38" i="23"/>
  <c r="V28" i="37"/>
  <c r="R28" i="36"/>
  <c r="Z21" i="17"/>
  <c r="X21" i="18"/>
  <c r="Y21" i="18" s="1"/>
  <c r="U26" i="30"/>
  <c r="I21" i="29"/>
  <c r="T33" i="25"/>
  <c r="H28" i="24"/>
  <c r="Z24" i="18"/>
  <c r="X24" i="19"/>
  <c r="Y24" i="19" s="1"/>
  <c r="X28" i="18"/>
  <c r="Y28" i="18" s="1"/>
  <c r="Z28" i="17"/>
  <c r="U52" i="25"/>
  <c r="I47" i="24"/>
  <c r="V43" i="34" l="1"/>
  <c r="R43" i="33"/>
  <c r="I39" i="48"/>
  <c r="U44" i="49"/>
  <c r="V34" i="38"/>
  <c r="R34" i="37"/>
  <c r="V26" i="39"/>
  <c r="R26" i="38"/>
  <c r="V18" i="35"/>
  <c r="R18" i="34"/>
  <c r="R41" i="56"/>
  <c r="V41" i="57"/>
  <c r="R41" i="57" s="1"/>
  <c r="U32" i="33"/>
  <c r="I27" i="32"/>
  <c r="V54" i="33"/>
  <c r="R54" i="32"/>
  <c r="U14" i="48"/>
  <c r="I9" i="47"/>
  <c r="V39" i="34"/>
  <c r="R39" i="33"/>
  <c r="V14" i="33"/>
  <c r="R14" i="32"/>
  <c r="I19" i="47"/>
  <c r="U24" i="48"/>
  <c r="U60" i="33"/>
  <c r="I55" i="32"/>
  <c r="U36" i="47"/>
  <c r="I31" i="46"/>
  <c r="V50" i="51"/>
  <c r="R50" i="50"/>
  <c r="V16" i="33"/>
  <c r="R16" i="32"/>
  <c r="V38" i="51"/>
  <c r="R38" i="50"/>
  <c r="V64" i="33"/>
  <c r="R64" i="32"/>
  <c r="V51" i="38"/>
  <c r="R51" i="37"/>
  <c r="V25" i="52"/>
  <c r="R25" i="51"/>
  <c r="V37" i="33"/>
  <c r="R37" i="32"/>
  <c r="V15" i="36"/>
  <c r="R15" i="35"/>
  <c r="V21" i="33"/>
  <c r="R21" i="32"/>
  <c r="V27" i="35"/>
  <c r="R27" i="34"/>
  <c r="U16" i="33"/>
  <c r="I11" i="32"/>
  <c r="U54" i="48"/>
  <c r="I49" i="47"/>
  <c r="V32" i="33"/>
  <c r="R32" i="32"/>
  <c r="U20" i="48"/>
  <c r="I15" i="47"/>
  <c r="T18" i="22"/>
  <c r="H13" i="21"/>
  <c r="V12" i="33"/>
  <c r="R12" i="32"/>
  <c r="X66" i="17"/>
  <c r="Y66" i="17" s="1"/>
  <c r="Z66" i="16"/>
  <c r="U56" i="53"/>
  <c r="I51" i="52"/>
  <c r="Z51" i="18"/>
  <c r="X51" i="19"/>
  <c r="Y51" i="19" s="1"/>
  <c r="U15" i="22"/>
  <c r="I10" i="21"/>
  <c r="V73" i="29"/>
  <c r="R73" i="28"/>
  <c r="Z73" i="28"/>
  <c r="U55" i="20"/>
  <c r="I50" i="19"/>
  <c r="H58" i="33"/>
  <c r="T63" i="34"/>
  <c r="T40" i="19"/>
  <c r="H35" i="18"/>
  <c r="U63" i="20"/>
  <c r="I58" i="19"/>
  <c r="X26" i="23"/>
  <c r="Y26" i="23" s="1"/>
  <c r="Z26" i="22"/>
  <c r="U34" i="49"/>
  <c r="I29" i="48"/>
  <c r="V65" i="22"/>
  <c r="R65" i="21"/>
  <c r="Z65" i="21"/>
  <c r="X41" i="18"/>
  <c r="Y41" i="18" s="1"/>
  <c r="Z41" i="17"/>
  <c r="U41" i="21"/>
  <c r="I36" i="20"/>
  <c r="X55" i="19"/>
  <c r="Y55" i="19" s="1"/>
  <c r="Z55" i="18"/>
  <c r="H34" i="28"/>
  <c r="T39" i="29"/>
  <c r="T44" i="22"/>
  <c r="H39" i="21"/>
  <c r="U25" i="24"/>
  <c r="I20" i="23"/>
  <c r="T35" i="25"/>
  <c r="H30" i="24"/>
  <c r="T26" i="20"/>
  <c r="H21" i="19"/>
  <c r="X36" i="19"/>
  <c r="Y36" i="19" s="1"/>
  <c r="Z36" i="18"/>
  <c r="X64" i="17"/>
  <c r="Y64" i="17" s="1"/>
  <c r="Z64" i="16"/>
  <c r="X72" i="30"/>
  <c r="Y72" i="30" s="1"/>
  <c r="AA77" i="29"/>
  <c r="AA79" i="29" s="1"/>
  <c r="X40" i="17"/>
  <c r="Y40" i="17" s="1"/>
  <c r="Z40" i="16"/>
  <c r="X35" i="18"/>
  <c r="Y35" i="18" s="1"/>
  <c r="Z35" i="17"/>
  <c r="T31" i="22"/>
  <c r="H26" i="21"/>
  <c r="X25" i="17"/>
  <c r="Y25" i="17" s="1"/>
  <c r="Z25" i="16"/>
  <c r="X33" i="17"/>
  <c r="Y33" i="17" s="1"/>
  <c r="Z33" i="16"/>
  <c r="Z18" i="18"/>
  <c r="X18" i="19"/>
  <c r="Y18" i="19" s="1"/>
  <c r="T33" i="26"/>
  <c r="H28" i="25"/>
  <c r="U58" i="48"/>
  <c r="I53" i="47"/>
  <c r="H48" i="20"/>
  <c r="T53" i="21"/>
  <c r="I25" i="48"/>
  <c r="U30" i="49"/>
  <c r="X16" i="20"/>
  <c r="Y16" i="20" s="1"/>
  <c r="Z16" i="19"/>
  <c r="Z43" i="18"/>
  <c r="X43" i="19"/>
  <c r="Y43" i="19" s="1"/>
  <c r="V22" i="46"/>
  <c r="R22" i="40"/>
  <c r="X34" i="18"/>
  <c r="Y34" i="18" s="1"/>
  <c r="Z34" i="17"/>
  <c r="Z21" i="18"/>
  <c r="X21" i="19"/>
  <c r="Y21" i="19" s="1"/>
  <c r="V70" i="19"/>
  <c r="U72" i="19"/>
  <c r="Z72" i="19"/>
  <c r="I28" i="22"/>
  <c r="U33" i="23"/>
  <c r="V36" i="22"/>
  <c r="R36" i="21"/>
  <c r="T36" i="24"/>
  <c r="H31" i="23"/>
  <c r="U50" i="47"/>
  <c r="I45" i="46"/>
  <c r="T62" i="34"/>
  <c r="H57" i="33"/>
  <c r="U39" i="26"/>
  <c r="I34" i="25"/>
  <c r="T54" i="21"/>
  <c r="H49" i="20"/>
  <c r="T17" i="23"/>
  <c r="H12" i="22"/>
  <c r="U27" i="22"/>
  <c r="I22" i="21"/>
  <c r="U37" i="21"/>
  <c r="I32" i="20"/>
  <c r="U40" i="50"/>
  <c r="I35" i="49"/>
  <c r="V55" i="48"/>
  <c r="R55" i="47"/>
  <c r="V66" i="22"/>
  <c r="R66" i="21"/>
  <c r="X50" i="17"/>
  <c r="Y50" i="17" s="1"/>
  <c r="Z50" i="16"/>
  <c r="T27" i="18"/>
  <c r="H22" i="17"/>
  <c r="U42" i="23"/>
  <c r="I37" i="22"/>
  <c r="AA81" i="28"/>
  <c r="AF16" i="28" s="1"/>
  <c r="AA80" i="29"/>
  <c r="X61" i="18"/>
  <c r="Y61" i="18" s="1"/>
  <c r="Z61" i="17"/>
  <c r="T24" i="27"/>
  <c r="H19" i="26"/>
  <c r="T22" i="25"/>
  <c r="H17" i="24"/>
  <c r="U29" i="21"/>
  <c r="I24" i="20"/>
  <c r="X42" i="22"/>
  <c r="Y42" i="22" s="1"/>
  <c r="Z42" i="21"/>
  <c r="T52" i="22"/>
  <c r="H47" i="21"/>
  <c r="X53" i="18"/>
  <c r="Y53" i="18" s="1"/>
  <c r="Z53" i="17"/>
  <c r="U28" i="22"/>
  <c r="I23" i="21"/>
  <c r="V49" i="22"/>
  <c r="R49" i="21"/>
  <c r="U52" i="26"/>
  <c r="I47" i="25"/>
  <c r="T16" i="19"/>
  <c r="H11" i="18"/>
  <c r="X60" i="18"/>
  <c r="Y60" i="18" s="1"/>
  <c r="Z60" i="17"/>
  <c r="U57" i="25"/>
  <c r="I52" i="24"/>
  <c r="U19" i="21"/>
  <c r="I14" i="20"/>
  <c r="U43" i="22"/>
  <c r="I38" i="21"/>
  <c r="V33" i="31"/>
  <c r="R33" i="30"/>
  <c r="X28" i="19"/>
  <c r="Y28" i="19" s="1"/>
  <c r="Z28" i="18"/>
  <c r="X32" i="22"/>
  <c r="Y32" i="22" s="1"/>
  <c r="Z32" i="21"/>
  <c r="X23" i="17"/>
  <c r="Y23" i="17" s="1"/>
  <c r="Z23" i="16"/>
  <c r="T19" i="27"/>
  <c r="H14" i="26"/>
  <c r="U23" i="26"/>
  <c r="I18" i="25"/>
  <c r="U67" i="21"/>
  <c r="I62" i="20"/>
  <c r="X22" i="17"/>
  <c r="Y22" i="17" s="1"/>
  <c r="Z22" i="16"/>
  <c r="T32" i="18"/>
  <c r="H27" i="17"/>
  <c r="U35" i="22"/>
  <c r="I30" i="21"/>
  <c r="U38" i="25"/>
  <c r="I33" i="24"/>
  <c r="X57" i="20"/>
  <c r="Y57" i="20" s="1"/>
  <c r="Z57" i="19"/>
  <c r="H52" i="28"/>
  <c r="T57" i="29"/>
  <c r="T42" i="27"/>
  <c r="H37" i="26"/>
  <c r="X54" i="19"/>
  <c r="Y54" i="19" s="1"/>
  <c r="Z54" i="18"/>
  <c r="T34" i="20"/>
  <c r="H29" i="19"/>
  <c r="X37" i="17"/>
  <c r="Y37" i="17" s="1"/>
  <c r="Z37" i="16"/>
  <c r="X12" i="14"/>
  <c r="Z12" i="13"/>
  <c r="U21" i="21"/>
  <c r="I16" i="20"/>
  <c r="U12" i="55"/>
  <c r="I7" i="54"/>
  <c r="H56" i="29"/>
  <c r="T61" i="30"/>
  <c r="T60" i="22"/>
  <c r="H55" i="21"/>
  <c r="X24" i="20"/>
  <c r="Y24" i="20" s="1"/>
  <c r="Z24" i="19"/>
  <c r="X59" i="18"/>
  <c r="Y59" i="18" s="1"/>
  <c r="Z59" i="17"/>
  <c r="U18" i="26"/>
  <c r="I13" i="25"/>
  <c r="V60" i="22"/>
  <c r="R60" i="21"/>
  <c r="X15" i="17"/>
  <c r="Y15" i="17" s="1"/>
  <c r="Z15" i="16"/>
  <c r="U62" i="50"/>
  <c r="I57" i="49"/>
  <c r="X13" i="12"/>
  <c r="Z13" i="11"/>
  <c r="Z68" i="11" s="1"/>
  <c r="Z74" i="11" s="1"/>
  <c r="Z70" i="11" s="1"/>
  <c r="Y68" i="11"/>
  <c r="T38" i="25"/>
  <c r="H33" i="24"/>
  <c r="AA84" i="10"/>
  <c r="AA86" i="10" s="1"/>
  <c r="Y70" i="10"/>
  <c r="V78" i="10"/>
  <c r="V79" i="10" s="1"/>
  <c r="X63" i="17"/>
  <c r="Y63" i="17" s="1"/>
  <c r="Z63" i="16"/>
  <c r="R68" i="20"/>
  <c r="U74" i="20"/>
  <c r="V72" i="20"/>
  <c r="U73" i="20"/>
  <c r="U66" i="26"/>
  <c r="I61" i="25"/>
  <c r="T55" i="34"/>
  <c r="H50" i="33"/>
  <c r="X29" i="17"/>
  <c r="Y29" i="17" s="1"/>
  <c r="Z29" i="16"/>
  <c r="T28" i="24"/>
  <c r="H23" i="23"/>
  <c r="U59" i="27"/>
  <c r="I54" i="26"/>
  <c r="V63" i="22"/>
  <c r="R63" i="21"/>
  <c r="T29" i="27"/>
  <c r="H24" i="26"/>
  <c r="Z20" i="23"/>
  <c r="X20" i="24"/>
  <c r="Y20" i="24" s="1"/>
  <c r="U61" i="22"/>
  <c r="I56" i="21"/>
  <c r="T37" i="20"/>
  <c r="H32" i="19"/>
  <c r="T59" i="28"/>
  <c r="H54" i="27"/>
  <c r="T56" i="20"/>
  <c r="H51" i="19"/>
  <c r="X44" i="18"/>
  <c r="Y44" i="18" s="1"/>
  <c r="Z44" i="17"/>
  <c r="I21" i="30"/>
  <c r="U26" i="31"/>
  <c r="T14" i="25"/>
  <c r="H9" i="24"/>
  <c r="V67" i="22"/>
  <c r="R67" i="21"/>
  <c r="Z67" i="21"/>
  <c r="X62" i="19"/>
  <c r="Y62" i="19" s="1"/>
  <c r="Z62" i="18"/>
  <c r="V59" i="22"/>
  <c r="R59" i="21"/>
  <c r="T12" i="23"/>
  <c r="H7" i="22"/>
  <c r="Z31" i="19"/>
  <c r="X31" i="20"/>
  <c r="Y31" i="20" s="1"/>
  <c r="T50" i="22"/>
  <c r="H45" i="21"/>
  <c r="X17" i="17"/>
  <c r="Y17" i="17" s="1"/>
  <c r="Z17" i="16"/>
  <c r="I17" i="50"/>
  <c r="U22" i="51"/>
  <c r="U49" i="25"/>
  <c r="I44" i="24"/>
  <c r="Z39" i="18"/>
  <c r="X39" i="19"/>
  <c r="Y39" i="19" s="1"/>
  <c r="X27" i="18"/>
  <c r="Y27" i="18" s="1"/>
  <c r="Z27" i="17"/>
  <c r="X14" i="17"/>
  <c r="Y14" i="17" s="1"/>
  <c r="Z14" i="16"/>
  <c r="T41" i="26"/>
  <c r="H36" i="25"/>
  <c r="X19" i="19"/>
  <c r="Y19" i="19" s="1"/>
  <c r="Z19" i="18"/>
  <c r="T58" i="29"/>
  <c r="H53" i="28"/>
  <c r="U31" i="22"/>
  <c r="I26" i="21"/>
  <c r="U17" i="23"/>
  <c r="I12" i="22"/>
  <c r="V58" i="22"/>
  <c r="R58" i="21"/>
  <c r="U53" i="22"/>
  <c r="I48" i="21"/>
  <c r="X56" i="17"/>
  <c r="Y56" i="17" s="1"/>
  <c r="Z56" i="16"/>
  <c r="V42" i="29"/>
  <c r="R42" i="28"/>
  <c r="T43" i="25"/>
  <c r="H38" i="24"/>
  <c r="T15" i="22"/>
  <c r="H10" i="21"/>
  <c r="X58" i="17"/>
  <c r="Y58" i="17" s="1"/>
  <c r="Z58" i="16"/>
  <c r="T49" i="23"/>
  <c r="H44" i="22"/>
  <c r="V28" i="38"/>
  <c r="R28" i="37"/>
  <c r="V56" i="22"/>
  <c r="R56" i="21"/>
  <c r="V17" i="36"/>
  <c r="R17" i="35"/>
  <c r="U64" i="49"/>
  <c r="I59" i="48"/>
  <c r="T64" i="20"/>
  <c r="H59" i="19"/>
  <c r="X49" i="20"/>
  <c r="Y49" i="20" s="1"/>
  <c r="Z49" i="19"/>
  <c r="U51" i="21"/>
  <c r="I46" i="20"/>
  <c r="X30" i="17"/>
  <c r="Y30" i="17" s="1"/>
  <c r="Z30" i="16"/>
  <c r="T23" i="21"/>
  <c r="H18" i="20"/>
  <c r="T21" i="20"/>
  <c r="H16" i="19"/>
  <c r="X38" i="17"/>
  <c r="Y38" i="17" s="1"/>
  <c r="Z38" i="16"/>
  <c r="V29" i="22"/>
  <c r="R29" i="21"/>
  <c r="V68" i="21"/>
  <c r="T13" i="20"/>
  <c r="H8" i="19"/>
  <c r="T30" i="19"/>
  <c r="H25" i="18"/>
  <c r="T25" i="23"/>
  <c r="H20" i="22"/>
  <c r="H46" i="20"/>
  <c r="T51" i="21"/>
  <c r="U65" i="20"/>
  <c r="I60" i="19"/>
  <c r="T20" i="24"/>
  <c r="H15" i="23"/>
  <c r="X52" i="18"/>
  <c r="Y52" i="18" s="1"/>
  <c r="Z52" i="17"/>
  <c r="U24" i="49" l="1"/>
  <c r="I19" i="48"/>
  <c r="U20" i="49"/>
  <c r="I15" i="48"/>
  <c r="V27" i="36"/>
  <c r="R27" i="35"/>
  <c r="V25" i="53"/>
  <c r="R25" i="52"/>
  <c r="V16" i="34"/>
  <c r="R16" i="33"/>
  <c r="V54" i="34"/>
  <c r="R54" i="33"/>
  <c r="V26" i="40"/>
  <c r="R26" i="39"/>
  <c r="V32" i="34"/>
  <c r="R32" i="33"/>
  <c r="V21" i="34"/>
  <c r="R21" i="33"/>
  <c r="V51" i="39"/>
  <c r="R51" i="38"/>
  <c r="V50" i="52"/>
  <c r="R50" i="51"/>
  <c r="V14" i="34"/>
  <c r="R14" i="33"/>
  <c r="I27" i="33"/>
  <c r="U32" i="34"/>
  <c r="V34" i="39"/>
  <c r="R34" i="38"/>
  <c r="U44" i="50"/>
  <c r="I39" i="49"/>
  <c r="I49" i="48"/>
  <c r="U54" i="49"/>
  <c r="V15" i="37"/>
  <c r="R15" i="36"/>
  <c r="V64" i="34"/>
  <c r="R64" i="33"/>
  <c r="U36" i="48"/>
  <c r="I31" i="47"/>
  <c r="V39" i="35"/>
  <c r="R39" i="34"/>
  <c r="I11" i="33"/>
  <c r="U16" i="34"/>
  <c r="V37" i="34"/>
  <c r="R37" i="33"/>
  <c r="R38" i="51"/>
  <c r="V38" i="52"/>
  <c r="U60" i="34"/>
  <c r="I55" i="33"/>
  <c r="U14" i="49"/>
  <c r="I9" i="48"/>
  <c r="V18" i="36"/>
  <c r="R18" i="35"/>
  <c r="V43" i="35"/>
  <c r="R43" i="34"/>
  <c r="T25" i="24"/>
  <c r="H20" i="23"/>
  <c r="T50" i="23"/>
  <c r="H45" i="22"/>
  <c r="T38" i="26"/>
  <c r="H33" i="25"/>
  <c r="I7" i="55"/>
  <c r="U12" i="56"/>
  <c r="X58" i="18"/>
  <c r="Y58" i="18" s="1"/>
  <c r="Z58" i="17"/>
  <c r="Z31" i="20"/>
  <c r="X31" i="21"/>
  <c r="Y31" i="21" s="1"/>
  <c r="V63" i="23"/>
  <c r="R63" i="22"/>
  <c r="T55" i="35"/>
  <c r="H50" i="34"/>
  <c r="X63" i="18"/>
  <c r="Y63" i="18" s="1"/>
  <c r="Z63" i="17"/>
  <c r="X15" i="18"/>
  <c r="Y15" i="18" s="1"/>
  <c r="Z15" i="17"/>
  <c r="T34" i="21"/>
  <c r="H29" i="20"/>
  <c r="T32" i="19"/>
  <c r="H27" i="18"/>
  <c r="T19" i="28"/>
  <c r="H14" i="27"/>
  <c r="V49" i="23"/>
  <c r="R49" i="22"/>
  <c r="X42" i="23"/>
  <c r="Y42" i="23" s="1"/>
  <c r="Z42" i="22"/>
  <c r="X61" i="19"/>
  <c r="Y61" i="19" s="1"/>
  <c r="Z61" i="18"/>
  <c r="X50" i="18"/>
  <c r="Y50" i="18" s="1"/>
  <c r="Z50" i="17"/>
  <c r="I35" i="50"/>
  <c r="U40" i="51"/>
  <c r="T54" i="22"/>
  <c r="H49" i="21"/>
  <c r="X43" i="20"/>
  <c r="Y43" i="20" s="1"/>
  <c r="Z43" i="19"/>
  <c r="X36" i="20"/>
  <c r="Y36" i="20" s="1"/>
  <c r="Z36" i="19"/>
  <c r="T44" i="23"/>
  <c r="H39" i="22"/>
  <c r="I36" i="21"/>
  <c r="U41" i="22"/>
  <c r="T63" i="35"/>
  <c r="H58" i="34"/>
  <c r="U65" i="21"/>
  <c r="I60" i="20"/>
  <c r="H25" i="19"/>
  <c r="T30" i="20"/>
  <c r="X38" i="18"/>
  <c r="Y38" i="18" s="1"/>
  <c r="Z38" i="17"/>
  <c r="T23" i="22"/>
  <c r="H18" i="21"/>
  <c r="T64" i="21"/>
  <c r="H59" i="20"/>
  <c r="V56" i="23"/>
  <c r="R56" i="22"/>
  <c r="X56" i="18"/>
  <c r="Y56" i="18" s="1"/>
  <c r="Z56" i="17"/>
  <c r="T41" i="27"/>
  <c r="H36" i="26"/>
  <c r="U49" i="26"/>
  <c r="I44" i="25"/>
  <c r="X44" i="19"/>
  <c r="Y44" i="19" s="1"/>
  <c r="Z44" i="18"/>
  <c r="U61" i="23"/>
  <c r="I56" i="22"/>
  <c r="Z24" i="20"/>
  <c r="X24" i="21"/>
  <c r="Y24" i="21" s="1"/>
  <c r="I16" i="21"/>
  <c r="U21" i="22"/>
  <c r="V33" i="32"/>
  <c r="R33" i="31"/>
  <c r="X60" i="19"/>
  <c r="Y60" i="19" s="1"/>
  <c r="Z60" i="18"/>
  <c r="X21" i="20"/>
  <c r="Y21" i="20" s="1"/>
  <c r="Z21" i="19"/>
  <c r="I53" i="48"/>
  <c r="U58" i="49"/>
  <c r="X33" i="18"/>
  <c r="Y33" i="18" s="1"/>
  <c r="Z33" i="17"/>
  <c r="X40" i="18"/>
  <c r="Y40" i="18" s="1"/>
  <c r="Z40" i="17"/>
  <c r="U34" i="50"/>
  <c r="I29" i="49"/>
  <c r="U15" i="23"/>
  <c r="I10" i="22"/>
  <c r="X62" i="20"/>
  <c r="Y62" i="20" s="1"/>
  <c r="Z62" i="19"/>
  <c r="AG27" i="11"/>
  <c r="Y74" i="11"/>
  <c r="X57" i="21"/>
  <c r="Y57" i="21" s="1"/>
  <c r="Z57" i="20"/>
  <c r="T36" i="25"/>
  <c r="H31" i="24"/>
  <c r="T15" i="23"/>
  <c r="H10" i="22"/>
  <c r="U31" i="23"/>
  <c r="I26" i="22"/>
  <c r="U22" i="52"/>
  <c r="I17" i="51"/>
  <c r="Z20" i="24"/>
  <c r="X20" i="25"/>
  <c r="Y20" i="25" s="1"/>
  <c r="U59" i="28"/>
  <c r="I54" i="27"/>
  <c r="I61" i="26"/>
  <c r="U66" i="27"/>
  <c r="Y13" i="12"/>
  <c r="X68" i="12"/>
  <c r="X74" i="12" s="1"/>
  <c r="X54" i="20"/>
  <c r="Y54" i="20" s="1"/>
  <c r="Z54" i="19"/>
  <c r="U38" i="26"/>
  <c r="I33" i="25"/>
  <c r="X22" i="18"/>
  <c r="Y22" i="18" s="1"/>
  <c r="Z22" i="17"/>
  <c r="Z23" i="17"/>
  <c r="X23" i="18"/>
  <c r="Y23" i="18" s="1"/>
  <c r="U28" i="23"/>
  <c r="I23" i="22"/>
  <c r="I24" i="21"/>
  <c r="U29" i="22"/>
  <c r="I32" i="21"/>
  <c r="U37" i="22"/>
  <c r="U39" i="27"/>
  <c r="I34" i="26"/>
  <c r="AA81" i="29"/>
  <c r="AF16" i="29" s="1"/>
  <c r="AA80" i="30"/>
  <c r="T26" i="21"/>
  <c r="H21" i="20"/>
  <c r="Z51" i="19"/>
  <c r="X51" i="20"/>
  <c r="Y51" i="20" s="1"/>
  <c r="T20" i="25"/>
  <c r="H15" i="24"/>
  <c r="X59" i="19"/>
  <c r="Y59" i="19" s="1"/>
  <c r="Z59" i="18"/>
  <c r="U64" i="50"/>
  <c r="I59" i="49"/>
  <c r="X14" i="18"/>
  <c r="Y14" i="18" s="1"/>
  <c r="Z14" i="17"/>
  <c r="U43" i="23"/>
  <c r="I38" i="22"/>
  <c r="T33" i="27"/>
  <c r="H28" i="26"/>
  <c r="U55" i="21"/>
  <c r="I50" i="20"/>
  <c r="X49" i="21"/>
  <c r="Y49" i="21" s="1"/>
  <c r="Z49" i="20"/>
  <c r="U17" i="24"/>
  <c r="I12" i="23"/>
  <c r="U53" i="23"/>
  <c r="I48" i="22"/>
  <c r="R67" i="22"/>
  <c r="V67" i="23"/>
  <c r="Z67" i="22"/>
  <c r="AA87" i="11"/>
  <c r="AA88" i="10"/>
  <c r="AF14" i="10" s="1"/>
  <c r="T60" i="23"/>
  <c r="H55" i="22"/>
  <c r="T16" i="20"/>
  <c r="H11" i="19"/>
  <c r="V66" i="23"/>
  <c r="R66" i="22"/>
  <c r="V36" i="23"/>
  <c r="R36" i="22"/>
  <c r="X16" i="21"/>
  <c r="Y16" i="21" s="1"/>
  <c r="Z16" i="20"/>
  <c r="X25" i="18"/>
  <c r="Y25" i="18" s="1"/>
  <c r="Z25" i="17"/>
  <c r="AA77" i="30"/>
  <c r="AA79" i="30" s="1"/>
  <c r="X72" i="31"/>
  <c r="Y72" i="31" s="1"/>
  <c r="H34" i="29"/>
  <c r="T39" i="30"/>
  <c r="Z26" i="23"/>
  <c r="X26" i="24"/>
  <c r="Y26" i="24" s="1"/>
  <c r="T51" i="22"/>
  <c r="H46" i="21"/>
  <c r="V28" i="39"/>
  <c r="R28" i="38"/>
  <c r="T43" i="26"/>
  <c r="H38" i="25"/>
  <c r="T28" i="25"/>
  <c r="H23" i="24"/>
  <c r="V70" i="20"/>
  <c r="U72" i="20"/>
  <c r="Z72" i="20"/>
  <c r="H56" i="30"/>
  <c r="T61" i="31"/>
  <c r="Y12" i="14"/>
  <c r="H37" i="27"/>
  <c r="T42" i="28"/>
  <c r="U35" i="23"/>
  <c r="I30" i="22"/>
  <c r="I62" i="21"/>
  <c r="U67" i="22"/>
  <c r="X32" i="23"/>
  <c r="Y32" i="23" s="1"/>
  <c r="Z32" i="22"/>
  <c r="X53" i="19"/>
  <c r="Y53" i="19" s="1"/>
  <c r="Z53" i="18"/>
  <c r="T22" i="26"/>
  <c r="H17" i="25"/>
  <c r="U42" i="24"/>
  <c r="I37" i="23"/>
  <c r="U27" i="23"/>
  <c r="I22" i="22"/>
  <c r="T62" i="35"/>
  <c r="H57" i="34"/>
  <c r="U33" i="24"/>
  <c r="I28" i="23"/>
  <c r="Z34" i="18"/>
  <c r="X34" i="19"/>
  <c r="Y34" i="19" s="1"/>
  <c r="U30" i="50"/>
  <c r="I25" i="49"/>
  <c r="Z18" i="19"/>
  <c r="X18" i="20"/>
  <c r="Y18" i="20" s="1"/>
  <c r="T35" i="26"/>
  <c r="H30" i="25"/>
  <c r="X41" i="19"/>
  <c r="Y41" i="19" s="1"/>
  <c r="Z41" i="18"/>
  <c r="T21" i="21"/>
  <c r="H16" i="20"/>
  <c r="T13" i="21"/>
  <c r="H8" i="20"/>
  <c r="T12" i="24"/>
  <c r="H7" i="23"/>
  <c r="R68" i="21"/>
  <c r="U74" i="21"/>
  <c r="V72" i="21"/>
  <c r="U73" i="21"/>
  <c r="I46" i="21"/>
  <c r="U51" i="22"/>
  <c r="T58" i="30"/>
  <c r="H53" i="29"/>
  <c r="X27" i="19"/>
  <c r="Y27" i="19" s="1"/>
  <c r="Z27" i="18"/>
  <c r="X17" i="18"/>
  <c r="Y17" i="18" s="1"/>
  <c r="Z17" i="17"/>
  <c r="T14" i="26"/>
  <c r="H9" i="25"/>
  <c r="T59" i="29"/>
  <c r="H54" i="28"/>
  <c r="T29" i="28"/>
  <c r="H24" i="27"/>
  <c r="U18" i="27"/>
  <c r="I13" i="26"/>
  <c r="T57" i="30"/>
  <c r="H52" i="29"/>
  <c r="U19" i="22"/>
  <c r="I14" i="21"/>
  <c r="U52" i="27"/>
  <c r="I47" i="26"/>
  <c r="T31" i="23"/>
  <c r="H26" i="22"/>
  <c r="U63" i="21"/>
  <c r="I58" i="20"/>
  <c r="I51" i="53"/>
  <c r="U56" i="54"/>
  <c r="V12" i="34"/>
  <c r="R12" i="33"/>
  <c r="V29" i="23"/>
  <c r="R29" i="22"/>
  <c r="V68" i="22"/>
  <c r="Z19" i="19"/>
  <c r="X19" i="20"/>
  <c r="Y19" i="20" s="1"/>
  <c r="T37" i="21"/>
  <c r="H32" i="20"/>
  <c r="Z30" i="17"/>
  <c r="X30" i="18"/>
  <c r="Y30" i="18" s="1"/>
  <c r="T56" i="21"/>
  <c r="H51" i="20"/>
  <c r="V60" i="23"/>
  <c r="R60" i="22"/>
  <c r="X52" i="19"/>
  <c r="Y52" i="19" s="1"/>
  <c r="Z52" i="18"/>
  <c r="V17" i="37"/>
  <c r="R17" i="36"/>
  <c r="T49" i="24"/>
  <c r="H44" i="23"/>
  <c r="V58" i="23"/>
  <c r="R58" i="22"/>
  <c r="Z39" i="19"/>
  <c r="X39" i="20"/>
  <c r="Y39" i="20" s="1"/>
  <c r="V59" i="23"/>
  <c r="R59" i="22"/>
  <c r="I21" i="31"/>
  <c r="U26" i="32"/>
  <c r="X29" i="18"/>
  <c r="Y29" i="18" s="1"/>
  <c r="Z29" i="17"/>
  <c r="U62" i="51"/>
  <c r="I57" i="50"/>
  <c r="X37" i="18"/>
  <c r="Y37" i="18" s="1"/>
  <c r="Z37" i="17"/>
  <c r="U23" i="27"/>
  <c r="I18" i="26"/>
  <c r="Z28" i="19"/>
  <c r="X28" i="20"/>
  <c r="Y28" i="20" s="1"/>
  <c r="T52" i="23"/>
  <c r="H47" i="22"/>
  <c r="T24" i="28"/>
  <c r="H19" i="27"/>
  <c r="T27" i="19"/>
  <c r="H22" i="18"/>
  <c r="V55" i="49"/>
  <c r="R55" i="48"/>
  <c r="T17" i="24"/>
  <c r="H12" i="23"/>
  <c r="U50" i="48"/>
  <c r="I45" i="47"/>
  <c r="T53" i="22"/>
  <c r="H48" i="21"/>
  <c r="X64" i="18"/>
  <c r="Y64" i="18" s="1"/>
  <c r="Z64" i="17"/>
  <c r="I20" i="24"/>
  <c r="U25" i="25"/>
  <c r="X55" i="20"/>
  <c r="Y55" i="20" s="1"/>
  <c r="Z55" i="19"/>
  <c r="V42" i="30"/>
  <c r="R42" i="29"/>
  <c r="U57" i="26"/>
  <c r="I52" i="25"/>
  <c r="R22" i="46"/>
  <c r="V22" i="47"/>
  <c r="X35" i="19"/>
  <c r="Y35" i="19" s="1"/>
  <c r="Z35" i="18"/>
  <c r="V65" i="23"/>
  <c r="R65" i="22"/>
  <c r="Z65" i="22"/>
  <c r="T40" i="20"/>
  <c r="H35" i="19"/>
  <c r="V73" i="30"/>
  <c r="R73" i="29"/>
  <c r="Z73" i="29"/>
  <c r="X66" i="18"/>
  <c r="Y66" i="18" s="1"/>
  <c r="Z66" i="17"/>
  <c r="T18" i="23"/>
  <c r="H13" i="22"/>
  <c r="U54" i="50" l="1"/>
  <c r="I49" i="49"/>
  <c r="U60" i="35"/>
  <c r="I55" i="34"/>
  <c r="V39" i="36"/>
  <c r="R39" i="35"/>
  <c r="V14" i="35"/>
  <c r="R14" i="34"/>
  <c r="V32" i="35"/>
  <c r="R32" i="34"/>
  <c r="V25" i="54"/>
  <c r="R25" i="53"/>
  <c r="V43" i="36"/>
  <c r="R43" i="35"/>
  <c r="U36" i="49"/>
  <c r="I31" i="48"/>
  <c r="U44" i="51"/>
  <c r="I39" i="50"/>
  <c r="V50" i="53"/>
  <c r="R50" i="52"/>
  <c r="V26" i="46"/>
  <c r="R26" i="40"/>
  <c r="V27" i="37"/>
  <c r="R27" i="36"/>
  <c r="V18" i="37"/>
  <c r="R18" i="36"/>
  <c r="V37" i="35"/>
  <c r="R37" i="34"/>
  <c r="V64" i="35"/>
  <c r="R64" i="34"/>
  <c r="V34" i="40"/>
  <c r="R34" i="39"/>
  <c r="V51" i="40"/>
  <c r="R51" i="39"/>
  <c r="V54" i="35"/>
  <c r="R54" i="34"/>
  <c r="U20" i="50"/>
  <c r="I15" i="49"/>
  <c r="V38" i="53"/>
  <c r="R38" i="52"/>
  <c r="U16" i="35"/>
  <c r="I11" i="34"/>
  <c r="U32" i="35"/>
  <c r="I27" i="34"/>
  <c r="U14" i="50"/>
  <c r="I9" i="49"/>
  <c r="V15" i="38"/>
  <c r="R15" i="37"/>
  <c r="V21" i="35"/>
  <c r="R21" i="34"/>
  <c r="V16" i="35"/>
  <c r="R16" i="34"/>
  <c r="U24" i="50"/>
  <c r="I19" i="49"/>
  <c r="U26" i="33"/>
  <c r="I21" i="32"/>
  <c r="X35" i="20"/>
  <c r="Y35" i="20" s="1"/>
  <c r="Z35" i="19"/>
  <c r="T49" i="25"/>
  <c r="H44" i="24"/>
  <c r="V60" i="24"/>
  <c r="R60" i="23"/>
  <c r="U52" i="28"/>
  <c r="I47" i="27"/>
  <c r="I53" i="49"/>
  <c r="U58" i="50"/>
  <c r="T30" i="21"/>
  <c r="H25" i="20"/>
  <c r="T55" i="36"/>
  <c r="H50" i="35"/>
  <c r="X28" i="21"/>
  <c r="Y28" i="21" s="1"/>
  <c r="Z28" i="20"/>
  <c r="V59" i="24"/>
  <c r="R59" i="23"/>
  <c r="R68" i="22"/>
  <c r="V72" i="22"/>
  <c r="U74" i="22"/>
  <c r="U73" i="22"/>
  <c r="U56" i="55"/>
  <c r="I51" i="54"/>
  <c r="T21" i="22"/>
  <c r="H16" i="21"/>
  <c r="U30" i="51"/>
  <c r="I25" i="50"/>
  <c r="U27" i="24"/>
  <c r="I22" i="23"/>
  <c r="Z32" i="23"/>
  <c r="X32" i="24"/>
  <c r="Y32" i="24" s="1"/>
  <c r="X12" i="15"/>
  <c r="Z12" i="14"/>
  <c r="T51" i="23"/>
  <c r="H46" i="22"/>
  <c r="I12" i="24"/>
  <c r="U17" i="25"/>
  <c r="I38" i="23"/>
  <c r="U43" i="24"/>
  <c r="T20" i="26"/>
  <c r="H15" i="25"/>
  <c r="U28" i="24"/>
  <c r="I23" i="23"/>
  <c r="X54" i="21"/>
  <c r="Y54" i="21" s="1"/>
  <c r="Z54" i="20"/>
  <c r="T36" i="26"/>
  <c r="H31" i="25"/>
  <c r="U15" i="24"/>
  <c r="I10" i="23"/>
  <c r="U21" i="23"/>
  <c r="I16" i="22"/>
  <c r="V56" i="24"/>
  <c r="R56" i="23"/>
  <c r="T54" i="23"/>
  <c r="H49" i="22"/>
  <c r="X42" i="24"/>
  <c r="Y42" i="24" s="1"/>
  <c r="Z42" i="23"/>
  <c r="U57" i="27"/>
  <c r="I52" i="26"/>
  <c r="V42" i="31"/>
  <c r="R42" i="30"/>
  <c r="T29" i="29"/>
  <c r="H24" i="28"/>
  <c r="X20" i="26"/>
  <c r="Y20" i="26" s="1"/>
  <c r="Z20" i="25"/>
  <c r="X44" i="20"/>
  <c r="Y44" i="20" s="1"/>
  <c r="Z44" i="19"/>
  <c r="V22" i="48"/>
  <c r="R22" i="47"/>
  <c r="X55" i="21"/>
  <c r="Y55" i="21" s="1"/>
  <c r="Z55" i="20"/>
  <c r="T53" i="23"/>
  <c r="H48" i="22"/>
  <c r="V55" i="50"/>
  <c r="R55" i="49"/>
  <c r="U62" i="52"/>
  <c r="I57" i="51"/>
  <c r="Z39" i="20"/>
  <c r="X39" i="21"/>
  <c r="Y39" i="21" s="1"/>
  <c r="T56" i="22"/>
  <c r="H51" i="21"/>
  <c r="U19" i="23"/>
  <c r="I14" i="22"/>
  <c r="T59" i="30"/>
  <c r="H54" i="29"/>
  <c r="H53" i="30"/>
  <c r="T58" i="31"/>
  <c r="Z34" i="19"/>
  <c r="X34" i="20"/>
  <c r="Y34" i="20" s="1"/>
  <c r="U67" i="23"/>
  <c r="I62" i="22"/>
  <c r="T61" i="32"/>
  <c r="H56" i="31"/>
  <c r="T28" i="26"/>
  <c r="H23" i="25"/>
  <c r="Z26" i="24"/>
  <c r="X26" i="25"/>
  <c r="Y26" i="25" s="1"/>
  <c r="X25" i="19"/>
  <c r="Y25" i="19" s="1"/>
  <c r="Z25" i="18"/>
  <c r="V66" i="24"/>
  <c r="R66" i="23"/>
  <c r="V67" i="24"/>
  <c r="R67" i="23"/>
  <c r="Z67" i="23"/>
  <c r="Z51" i="20"/>
  <c r="X51" i="21"/>
  <c r="Y51" i="21" s="1"/>
  <c r="X23" i="19"/>
  <c r="Y23" i="19" s="1"/>
  <c r="Z23" i="18"/>
  <c r="U49" i="27"/>
  <c r="I44" i="26"/>
  <c r="U40" i="52"/>
  <c r="I35" i="51"/>
  <c r="T34" i="22"/>
  <c r="H29" i="21"/>
  <c r="X66" i="19"/>
  <c r="Y66" i="19" s="1"/>
  <c r="Z66" i="18"/>
  <c r="Z52" i="19"/>
  <c r="X52" i="20"/>
  <c r="Y52" i="20" s="1"/>
  <c r="X37" i="19"/>
  <c r="Y37" i="19" s="1"/>
  <c r="Z37" i="18"/>
  <c r="X27" i="20"/>
  <c r="Y27" i="20" s="1"/>
  <c r="Z27" i="19"/>
  <c r="AA81" i="30"/>
  <c r="AF16" i="30" s="1"/>
  <c r="AA80" i="31"/>
  <c r="T32" i="20"/>
  <c r="H27" i="19"/>
  <c r="T18" i="24"/>
  <c r="H13" i="23"/>
  <c r="T40" i="21"/>
  <c r="H35" i="20"/>
  <c r="I20" i="25"/>
  <c r="U25" i="26"/>
  <c r="V17" i="38"/>
  <c r="R17" i="37"/>
  <c r="X30" i="19"/>
  <c r="Y30" i="19" s="1"/>
  <c r="Z30" i="18"/>
  <c r="I46" i="22"/>
  <c r="U51" i="23"/>
  <c r="Z41" i="19"/>
  <c r="X41" i="20"/>
  <c r="Y41" i="20" s="1"/>
  <c r="U42" i="25"/>
  <c r="I37" i="24"/>
  <c r="X49" i="22"/>
  <c r="Y49" i="22" s="1"/>
  <c r="Z49" i="21"/>
  <c r="X14" i="19"/>
  <c r="Y14" i="19" s="1"/>
  <c r="Z14" i="18"/>
  <c r="U39" i="28"/>
  <c r="I34" i="27"/>
  <c r="X13" i="13"/>
  <c r="Z13" i="12"/>
  <c r="Z68" i="12" s="1"/>
  <c r="Z74" i="12" s="1"/>
  <c r="Z70" i="12" s="1"/>
  <c r="Y68" i="12"/>
  <c r="U22" i="53"/>
  <c r="I17" i="52"/>
  <c r="Z57" i="21"/>
  <c r="X57" i="22"/>
  <c r="Y57" i="22" s="1"/>
  <c r="U34" i="51"/>
  <c r="I29" i="50"/>
  <c r="X21" i="21"/>
  <c r="Y21" i="21" s="1"/>
  <c r="Z21" i="20"/>
  <c r="X24" i="22"/>
  <c r="Y24" i="22" s="1"/>
  <c r="Z24" i="21"/>
  <c r="T64" i="22"/>
  <c r="H59" i="21"/>
  <c r="U65" i="22"/>
  <c r="I60" i="21"/>
  <c r="T44" i="24"/>
  <c r="H39" i="23"/>
  <c r="V63" i="24"/>
  <c r="R63" i="23"/>
  <c r="T38" i="27"/>
  <c r="H33" i="26"/>
  <c r="I45" i="48"/>
  <c r="U50" i="49"/>
  <c r="T52" i="24"/>
  <c r="H47" i="23"/>
  <c r="U72" i="21"/>
  <c r="V70" i="21"/>
  <c r="Z72" i="21"/>
  <c r="V33" i="33"/>
  <c r="R33" i="32"/>
  <c r="U41" i="23"/>
  <c r="I36" i="22"/>
  <c r="I7" i="56"/>
  <c r="U12" i="57"/>
  <c r="I7" i="57" s="1"/>
  <c r="V73" i="31"/>
  <c r="R73" i="30"/>
  <c r="Z73" i="30"/>
  <c r="T27" i="20"/>
  <c r="H22" i="19"/>
  <c r="U23" i="28"/>
  <c r="I18" i="27"/>
  <c r="X29" i="19"/>
  <c r="Y29" i="19" s="1"/>
  <c r="Z29" i="18"/>
  <c r="V29" i="24"/>
  <c r="R29" i="23"/>
  <c r="V68" i="23"/>
  <c r="I58" i="21"/>
  <c r="U63" i="22"/>
  <c r="T57" i="31"/>
  <c r="H52" i="30"/>
  <c r="T14" i="27"/>
  <c r="H9" i="26"/>
  <c r="T43" i="27"/>
  <c r="H38" i="26"/>
  <c r="T39" i="31"/>
  <c r="H34" i="30"/>
  <c r="Z16" i="21"/>
  <c r="X16" i="22"/>
  <c r="Y16" i="22" s="1"/>
  <c r="T16" i="21"/>
  <c r="H11" i="20"/>
  <c r="U37" i="23"/>
  <c r="I32" i="22"/>
  <c r="I61" i="27"/>
  <c r="U66" i="28"/>
  <c r="V78" i="11"/>
  <c r="V79" i="11" s="1"/>
  <c r="AA84" i="11"/>
  <c r="AA86" i="11" s="1"/>
  <c r="Y70" i="11"/>
  <c r="T41" i="28"/>
  <c r="H36" i="27"/>
  <c r="V49" i="24"/>
  <c r="R49" i="23"/>
  <c r="X15" i="19"/>
  <c r="Y15" i="19" s="1"/>
  <c r="Z15" i="18"/>
  <c r="Z31" i="21"/>
  <c r="X31" i="22"/>
  <c r="Y31" i="22" s="1"/>
  <c r="X40" i="19"/>
  <c r="Y40" i="19" s="1"/>
  <c r="Z40" i="18"/>
  <c r="X36" i="21"/>
  <c r="Y36" i="21" s="1"/>
  <c r="Z36" i="20"/>
  <c r="T50" i="24"/>
  <c r="H45" i="23"/>
  <c r="T35" i="27"/>
  <c r="H30" i="26"/>
  <c r="I28" i="24"/>
  <c r="U33" i="25"/>
  <c r="U35" i="24"/>
  <c r="I30" i="23"/>
  <c r="U53" i="24"/>
  <c r="I48" i="23"/>
  <c r="U64" i="51"/>
  <c r="I59" i="50"/>
  <c r="V65" i="24"/>
  <c r="R65" i="23"/>
  <c r="Z65" i="23"/>
  <c r="Z64" i="18"/>
  <c r="X64" i="19"/>
  <c r="Y64" i="19" s="1"/>
  <c r="H19" i="28"/>
  <c r="T24" i="29"/>
  <c r="V58" i="24"/>
  <c r="R58" i="23"/>
  <c r="T37" i="22"/>
  <c r="H32" i="21"/>
  <c r="T31" i="24"/>
  <c r="H26" i="23"/>
  <c r="U18" i="28"/>
  <c r="I13" i="27"/>
  <c r="Z17" i="18"/>
  <c r="X17" i="19"/>
  <c r="Y17" i="19" s="1"/>
  <c r="Z18" i="20"/>
  <c r="X18" i="21"/>
  <c r="Y18" i="21" s="1"/>
  <c r="H37" i="28"/>
  <c r="T42" i="29"/>
  <c r="T60" i="24"/>
  <c r="H55" i="23"/>
  <c r="U29" i="23"/>
  <c r="I24" i="22"/>
  <c r="U61" i="24"/>
  <c r="I56" i="23"/>
  <c r="X56" i="19"/>
  <c r="Y56" i="19" s="1"/>
  <c r="Z56" i="18"/>
  <c r="T19" i="29"/>
  <c r="H14" i="28"/>
  <c r="X63" i="19"/>
  <c r="Y63" i="19" s="1"/>
  <c r="Z63" i="18"/>
  <c r="T12" i="25"/>
  <c r="H7" i="24"/>
  <c r="T22" i="27"/>
  <c r="H17" i="26"/>
  <c r="I50" i="21"/>
  <c r="U55" i="22"/>
  <c r="X22" i="19"/>
  <c r="Y22" i="19" s="1"/>
  <c r="Z22" i="18"/>
  <c r="I26" i="23"/>
  <c r="U31" i="24"/>
  <c r="X60" i="20"/>
  <c r="Y60" i="20" s="1"/>
  <c r="Z60" i="19"/>
  <c r="T23" i="23"/>
  <c r="H18" i="22"/>
  <c r="X50" i="19"/>
  <c r="Y50" i="19" s="1"/>
  <c r="Z50" i="18"/>
  <c r="T17" i="25"/>
  <c r="H12" i="24"/>
  <c r="Z19" i="20"/>
  <c r="X19" i="21"/>
  <c r="Y19" i="21" s="1"/>
  <c r="V12" i="35"/>
  <c r="R12" i="34"/>
  <c r="T13" i="22"/>
  <c r="H8" i="21"/>
  <c r="T62" i="36"/>
  <c r="H57" i="35"/>
  <c r="Z53" i="19"/>
  <c r="X53" i="20"/>
  <c r="Y53" i="20" s="1"/>
  <c r="V28" i="40"/>
  <c r="R28" i="39"/>
  <c r="X72" i="32"/>
  <c r="Y72" i="32" s="1"/>
  <c r="AA77" i="31"/>
  <c r="AA79" i="31" s="1"/>
  <c r="V36" i="24"/>
  <c r="R36" i="23"/>
  <c r="T33" i="28"/>
  <c r="H28" i="27"/>
  <c r="X59" i="20"/>
  <c r="Y59" i="20" s="1"/>
  <c r="Z59" i="19"/>
  <c r="T26" i="22"/>
  <c r="H21" i="21"/>
  <c r="U38" i="27"/>
  <c r="I33" i="26"/>
  <c r="I54" i="28"/>
  <c r="U59" i="29"/>
  <c r="T15" i="24"/>
  <c r="H10" i="23"/>
  <c r="X62" i="21"/>
  <c r="Y62" i="21" s="1"/>
  <c r="Z62" i="20"/>
  <c r="X33" i="19"/>
  <c r="Y33" i="19" s="1"/>
  <c r="Z33" i="18"/>
  <c r="Z38" i="18"/>
  <c r="X38" i="19"/>
  <c r="Y38" i="19" s="1"/>
  <c r="T63" i="36"/>
  <c r="H58" i="35"/>
  <c r="Z43" i="20"/>
  <c r="X43" i="21"/>
  <c r="Y43" i="21" s="1"/>
  <c r="Z61" i="19"/>
  <c r="X61" i="20"/>
  <c r="Y61" i="20" s="1"/>
  <c r="X58" i="19"/>
  <c r="Y58" i="19" s="1"/>
  <c r="Z58" i="18"/>
  <c r="T25" i="25"/>
  <c r="H20" i="24"/>
  <c r="V14" i="36" l="1"/>
  <c r="R14" i="35"/>
  <c r="V27" i="38"/>
  <c r="R27" i="37"/>
  <c r="I19" i="50"/>
  <c r="U24" i="51"/>
  <c r="U14" i="51"/>
  <c r="I9" i="50"/>
  <c r="I15" i="50"/>
  <c r="U20" i="51"/>
  <c r="V64" i="36"/>
  <c r="R64" i="35"/>
  <c r="R26" i="46"/>
  <c r="V26" i="47"/>
  <c r="V43" i="37"/>
  <c r="R43" i="36"/>
  <c r="V39" i="37"/>
  <c r="R39" i="36"/>
  <c r="U36" i="50"/>
  <c r="I31" i="49"/>
  <c r="V16" i="36"/>
  <c r="R16" i="35"/>
  <c r="U32" i="36"/>
  <c r="I27" i="35"/>
  <c r="V54" i="36"/>
  <c r="R54" i="35"/>
  <c r="V37" i="36"/>
  <c r="R37" i="35"/>
  <c r="R50" i="53"/>
  <c r="V50" i="54"/>
  <c r="R25" i="54"/>
  <c r="V25" i="55"/>
  <c r="I55" i="35"/>
  <c r="U60" i="36"/>
  <c r="V34" i="46"/>
  <c r="R34" i="40"/>
  <c r="V15" i="39"/>
  <c r="R15" i="38"/>
  <c r="V38" i="54"/>
  <c r="R38" i="53"/>
  <c r="V21" i="36"/>
  <c r="R21" i="35"/>
  <c r="U16" i="36"/>
  <c r="I11" i="35"/>
  <c r="V51" i="46"/>
  <c r="R51" i="40"/>
  <c r="V18" i="38"/>
  <c r="R18" i="37"/>
  <c r="U44" i="52"/>
  <c r="I39" i="51"/>
  <c r="V32" i="36"/>
  <c r="R32" i="35"/>
  <c r="U54" i="51"/>
  <c r="I49" i="50"/>
  <c r="X63" i="20"/>
  <c r="Y63" i="20" s="1"/>
  <c r="Z63" i="19"/>
  <c r="U49" i="28"/>
  <c r="I44" i="27"/>
  <c r="H23" i="26"/>
  <c r="T28" i="27"/>
  <c r="X20" i="27"/>
  <c r="Y20" i="27" s="1"/>
  <c r="Z20" i="26"/>
  <c r="I16" i="23"/>
  <c r="U21" i="24"/>
  <c r="U28" i="25"/>
  <c r="I23" i="24"/>
  <c r="T51" i="24"/>
  <c r="H46" i="23"/>
  <c r="V70" i="22"/>
  <c r="U72" i="22"/>
  <c r="Z72" i="22"/>
  <c r="H50" i="36"/>
  <c r="T55" i="37"/>
  <c r="X62" i="22"/>
  <c r="Y62" i="22" s="1"/>
  <c r="Z62" i="21"/>
  <c r="T26" i="23"/>
  <c r="H21" i="22"/>
  <c r="X53" i="21"/>
  <c r="Y53" i="21" s="1"/>
  <c r="Z53" i="20"/>
  <c r="U55" i="23"/>
  <c r="I50" i="22"/>
  <c r="U53" i="25"/>
  <c r="I48" i="24"/>
  <c r="T35" i="28"/>
  <c r="H30" i="27"/>
  <c r="Z40" i="19"/>
  <c r="X40" i="20"/>
  <c r="Y40" i="20" s="1"/>
  <c r="T39" i="32"/>
  <c r="H34" i="31"/>
  <c r="U23" i="29"/>
  <c r="I18" i="28"/>
  <c r="X14" i="20"/>
  <c r="Y14" i="20" s="1"/>
  <c r="Z14" i="19"/>
  <c r="Z55" i="21"/>
  <c r="X55" i="22"/>
  <c r="Y55" i="22" s="1"/>
  <c r="X42" i="25"/>
  <c r="Y42" i="25" s="1"/>
  <c r="Z42" i="24"/>
  <c r="U30" i="52"/>
  <c r="I25" i="51"/>
  <c r="V60" i="25"/>
  <c r="R60" i="24"/>
  <c r="U38" i="28"/>
  <c r="I33" i="27"/>
  <c r="Z22" i="19"/>
  <c r="X22" i="20"/>
  <c r="Y22" i="20" s="1"/>
  <c r="T60" i="25"/>
  <c r="H55" i="24"/>
  <c r="X24" i="23"/>
  <c r="Y24" i="23" s="1"/>
  <c r="Z24" i="22"/>
  <c r="T40" i="22"/>
  <c r="H35" i="21"/>
  <c r="Z23" i="19"/>
  <c r="X23" i="20"/>
  <c r="Y23" i="20" s="1"/>
  <c r="T61" i="33"/>
  <c r="H56" i="32"/>
  <c r="T59" i="31"/>
  <c r="H54" i="30"/>
  <c r="T29" i="30"/>
  <c r="H24" i="29"/>
  <c r="U15" i="25"/>
  <c r="I10" i="24"/>
  <c r="T20" i="27"/>
  <c r="H15" i="26"/>
  <c r="T30" i="22"/>
  <c r="H25" i="21"/>
  <c r="U66" i="29"/>
  <c r="I61" i="28"/>
  <c r="T64" i="23"/>
  <c r="H59" i="22"/>
  <c r="V12" i="36"/>
  <c r="R12" i="35"/>
  <c r="V72" i="23"/>
  <c r="U74" i="23"/>
  <c r="R68" i="23"/>
  <c r="U73" i="23"/>
  <c r="I57" i="52"/>
  <c r="U62" i="53"/>
  <c r="T25" i="26"/>
  <c r="H20" i="25"/>
  <c r="X59" i="21"/>
  <c r="Y59" i="21" s="1"/>
  <c r="Z59" i="20"/>
  <c r="Z19" i="21"/>
  <c r="X19" i="22"/>
  <c r="Y19" i="22" s="1"/>
  <c r="U18" i="29"/>
  <c r="I13" i="28"/>
  <c r="V65" i="25"/>
  <c r="R65" i="24"/>
  <c r="Z65" i="24"/>
  <c r="U37" i="24"/>
  <c r="I32" i="23"/>
  <c r="T43" i="28"/>
  <c r="H38" i="27"/>
  <c r="H22" i="20"/>
  <c r="T27" i="21"/>
  <c r="U41" i="24"/>
  <c r="I36" i="23"/>
  <c r="T52" i="25"/>
  <c r="H47" i="24"/>
  <c r="AG27" i="12"/>
  <c r="Y74" i="12"/>
  <c r="X49" i="23"/>
  <c r="Y49" i="23" s="1"/>
  <c r="Z49" i="22"/>
  <c r="Z30" i="19"/>
  <c r="X30" i="20"/>
  <c r="Y30" i="20" s="1"/>
  <c r="Z51" i="21"/>
  <c r="X51" i="22"/>
  <c r="Y51" i="22" s="1"/>
  <c r="T54" i="24"/>
  <c r="H49" i="23"/>
  <c r="U43" i="25"/>
  <c r="I38" i="24"/>
  <c r="Y12" i="15"/>
  <c r="H16" i="22"/>
  <c r="T21" i="23"/>
  <c r="I53" i="50"/>
  <c r="U58" i="51"/>
  <c r="H44" i="25"/>
  <c r="T49" i="26"/>
  <c r="U64" i="52"/>
  <c r="I59" i="51"/>
  <c r="Z17" i="19"/>
  <c r="X17" i="20"/>
  <c r="Y17" i="20" s="1"/>
  <c r="I17" i="53"/>
  <c r="U22" i="54"/>
  <c r="Z27" i="20"/>
  <c r="X27" i="21"/>
  <c r="Y27" i="21" s="1"/>
  <c r="T63" i="37"/>
  <c r="H58" i="36"/>
  <c r="T15" i="25"/>
  <c r="H10" i="24"/>
  <c r="X38" i="20"/>
  <c r="Y38" i="20" s="1"/>
  <c r="Z38" i="19"/>
  <c r="U59" i="30"/>
  <c r="I54" i="29"/>
  <c r="AA81" i="31"/>
  <c r="AF16" i="31" s="1"/>
  <c r="AA80" i="32"/>
  <c r="H57" i="36"/>
  <c r="T62" i="37"/>
  <c r="X60" i="21"/>
  <c r="Y60" i="21" s="1"/>
  <c r="Z60" i="20"/>
  <c r="T22" i="28"/>
  <c r="H17" i="27"/>
  <c r="X56" i="20"/>
  <c r="Y56" i="20" s="1"/>
  <c r="Z56" i="19"/>
  <c r="T42" i="30"/>
  <c r="H37" i="29"/>
  <c r="Z31" i="22"/>
  <c r="X31" i="23"/>
  <c r="Y31" i="23" s="1"/>
  <c r="T41" i="29"/>
  <c r="H36" i="28"/>
  <c r="I45" i="49"/>
  <c r="U50" i="50"/>
  <c r="T44" i="25"/>
  <c r="H39" i="24"/>
  <c r="X21" i="22"/>
  <c r="Y21" i="22" s="1"/>
  <c r="Z21" i="21"/>
  <c r="H13" i="24"/>
  <c r="T18" i="25"/>
  <c r="Z37" i="19"/>
  <c r="X37" i="20"/>
  <c r="Y37" i="20" s="1"/>
  <c r="T34" i="23"/>
  <c r="H29" i="22"/>
  <c r="Z25" i="19"/>
  <c r="X25" i="20"/>
  <c r="Y25" i="20" s="1"/>
  <c r="I62" i="23"/>
  <c r="U67" i="24"/>
  <c r="U19" i="24"/>
  <c r="I14" i="23"/>
  <c r="V22" i="49"/>
  <c r="R22" i="48"/>
  <c r="H31" i="26"/>
  <c r="T36" i="27"/>
  <c r="Z32" i="24"/>
  <c r="X32" i="25"/>
  <c r="Y32" i="25" s="1"/>
  <c r="V59" i="25"/>
  <c r="R59" i="24"/>
  <c r="Z43" i="21"/>
  <c r="X43" i="22"/>
  <c r="Y43" i="22" s="1"/>
  <c r="V28" i="46"/>
  <c r="R28" i="40"/>
  <c r="U29" i="24"/>
  <c r="I24" i="23"/>
  <c r="U63" i="23"/>
  <c r="I58" i="22"/>
  <c r="U51" i="24"/>
  <c r="I46" i="23"/>
  <c r="T23" i="24"/>
  <c r="H18" i="23"/>
  <c r="X66" i="20"/>
  <c r="Y66" i="20" s="1"/>
  <c r="Z66" i="19"/>
  <c r="X58" i="20"/>
  <c r="Y58" i="20" s="1"/>
  <c r="Z58" i="19"/>
  <c r="T33" i="29"/>
  <c r="H28" i="28"/>
  <c r="AA77" i="32"/>
  <c r="AA79" i="32" s="1"/>
  <c r="X72" i="33"/>
  <c r="Y72" i="33" s="1"/>
  <c r="U31" i="25"/>
  <c r="I26" i="24"/>
  <c r="T31" i="25"/>
  <c r="H26" i="24"/>
  <c r="H19" i="29"/>
  <c r="T24" i="30"/>
  <c r="U35" i="25"/>
  <c r="I30" i="24"/>
  <c r="T50" i="25"/>
  <c r="H45" i="24"/>
  <c r="T16" i="22"/>
  <c r="H11" i="21"/>
  <c r="T14" i="28"/>
  <c r="H9" i="27"/>
  <c r="V29" i="25"/>
  <c r="R29" i="24"/>
  <c r="V68" i="24"/>
  <c r="Y13" i="13"/>
  <c r="X68" i="13"/>
  <c r="X74" i="13" s="1"/>
  <c r="U42" i="26"/>
  <c r="I37" i="25"/>
  <c r="Z26" i="25"/>
  <c r="X26" i="26"/>
  <c r="Y26" i="26" s="1"/>
  <c r="X34" i="21"/>
  <c r="Y34" i="21" s="1"/>
  <c r="Z34" i="20"/>
  <c r="V55" i="51"/>
  <c r="R55" i="50"/>
  <c r="V42" i="32"/>
  <c r="R42" i="31"/>
  <c r="I12" i="25"/>
  <c r="U17" i="26"/>
  <c r="U56" i="56"/>
  <c r="I51" i="55"/>
  <c r="X35" i="21"/>
  <c r="Y35" i="21" s="1"/>
  <c r="Z35" i="20"/>
  <c r="Z33" i="19"/>
  <c r="X33" i="20"/>
  <c r="Y33" i="20" s="1"/>
  <c r="Z64" i="19"/>
  <c r="X64" i="20"/>
  <c r="Y64" i="20" s="1"/>
  <c r="Z50" i="19"/>
  <c r="X50" i="20"/>
  <c r="Y50" i="20" s="1"/>
  <c r="V36" i="25"/>
  <c r="R36" i="24"/>
  <c r="T19" i="30"/>
  <c r="H14" i="29"/>
  <c r="V58" i="25"/>
  <c r="R58" i="24"/>
  <c r="V49" i="25"/>
  <c r="R49" i="24"/>
  <c r="V63" i="25"/>
  <c r="R63" i="24"/>
  <c r="V66" i="25"/>
  <c r="R66" i="24"/>
  <c r="Z61" i="20"/>
  <c r="X61" i="21"/>
  <c r="Y61" i="21" s="1"/>
  <c r="T13" i="23"/>
  <c r="H8" i="22"/>
  <c r="T17" i="26"/>
  <c r="H12" i="25"/>
  <c r="H7" i="25"/>
  <c r="T12" i="26"/>
  <c r="U61" i="25"/>
  <c r="I56" i="24"/>
  <c r="Z18" i="21"/>
  <c r="X18" i="22"/>
  <c r="Y18" i="22" s="1"/>
  <c r="I28" i="25"/>
  <c r="U33" i="26"/>
  <c r="AA88" i="11"/>
  <c r="AF14" i="11" s="1"/>
  <c r="AA87" i="12"/>
  <c r="Z16" i="22"/>
  <c r="X16" i="23"/>
  <c r="Y16" i="23" s="1"/>
  <c r="V33" i="34"/>
  <c r="R33" i="33"/>
  <c r="U65" i="23"/>
  <c r="I60" i="22"/>
  <c r="I29" i="51"/>
  <c r="U34" i="52"/>
  <c r="Z41" i="20"/>
  <c r="X41" i="21"/>
  <c r="Y41" i="21" s="1"/>
  <c r="V17" i="39"/>
  <c r="R17" i="38"/>
  <c r="T32" i="21"/>
  <c r="H27" i="20"/>
  <c r="U40" i="53"/>
  <c r="I35" i="52"/>
  <c r="T56" i="23"/>
  <c r="H51" i="22"/>
  <c r="Z44" i="20"/>
  <c r="X44" i="21"/>
  <c r="Y44" i="21" s="1"/>
  <c r="V56" i="25"/>
  <c r="R56" i="24"/>
  <c r="Z54" i="21"/>
  <c r="X54" i="22"/>
  <c r="Y54" i="22" s="1"/>
  <c r="Z28" i="21"/>
  <c r="X28" i="22"/>
  <c r="Y28" i="22" s="1"/>
  <c r="U52" i="29"/>
  <c r="I47" i="28"/>
  <c r="T37" i="23"/>
  <c r="H32" i="22"/>
  <c r="X36" i="22"/>
  <c r="Y36" i="22" s="1"/>
  <c r="Z36" i="21"/>
  <c r="Z15" i="19"/>
  <c r="X15" i="20"/>
  <c r="Y15" i="20" s="1"/>
  <c r="T57" i="32"/>
  <c r="H52" i="31"/>
  <c r="X29" i="20"/>
  <c r="Y29" i="20" s="1"/>
  <c r="Z29" i="19"/>
  <c r="V73" i="32"/>
  <c r="R73" i="31"/>
  <c r="Z73" i="31"/>
  <c r="T38" i="28"/>
  <c r="H33" i="27"/>
  <c r="X57" i="23"/>
  <c r="Y57" i="23" s="1"/>
  <c r="Z57" i="22"/>
  <c r="U39" i="29"/>
  <c r="I34" i="28"/>
  <c r="U25" i="27"/>
  <c r="I20" i="26"/>
  <c r="X52" i="21"/>
  <c r="Y52" i="21" s="1"/>
  <c r="Z52" i="20"/>
  <c r="V67" i="25"/>
  <c r="R67" i="24"/>
  <c r="Z67" i="24"/>
  <c r="T58" i="32"/>
  <c r="H53" i="31"/>
  <c r="X39" i="22"/>
  <c r="Y39" i="22" s="1"/>
  <c r="Z39" i="21"/>
  <c r="T53" i="24"/>
  <c r="H48" i="23"/>
  <c r="U57" i="28"/>
  <c r="I52" i="27"/>
  <c r="U27" i="25"/>
  <c r="I22" i="24"/>
  <c r="U26" i="34"/>
  <c r="I21" i="33"/>
  <c r="V18" i="39" l="1"/>
  <c r="R18" i="38"/>
  <c r="V38" i="55"/>
  <c r="R38" i="54"/>
  <c r="U32" i="37"/>
  <c r="I27" i="36"/>
  <c r="V43" i="38"/>
  <c r="R43" i="37"/>
  <c r="I9" i="51"/>
  <c r="U14" i="52"/>
  <c r="R50" i="54"/>
  <c r="V50" i="55"/>
  <c r="V26" i="48"/>
  <c r="R26" i="47"/>
  <c r="I19" i="51"/>
  <c r="U24" i="52"/>
  <c r="U54" i="52"/>
  <c r="I49" i="51"/>
  <c r="V51" i="47"/>
  <c r="R51" i="46"/>
  <c r="V15" i="40"/>
  <c r="R15" i="39"/>
  <c r="V16" i="37"/>
  <c r="R16" i="36"/>
  <c r="V32" i="37"/>
  <c r="R32" i="36"/>
  <c r="U16" i="37"/>
  <c r="I11" i="36"/>
  <c r="R34" i="46"/>
  <c r="V34" i="47"/>
  <c r="V37" i="37"/>
  <c r="R37" i="36"/>
  <c r="I31" i="50"/>
  <c r="U36" i="51"/>
  <c r="V64" i="37"/>
  <c r="R64" i="36"/>
  <c r="V27" i="39"/>
  <c r="R27" i="38"/>
  <c r="R25" i="55"/>
  <c r="V25" i="56"/>
  <c r="U60" i="37"/>
  <c r="I55" i="36"/>
  <c r="I15" i="51"/>
  <c r="U20" i="52"/>
  <c r="I39" i="52"/>
  <c r="U44" i="53"/>
  <c r="V21" i="37"/>
  <c r="R21" i="36"/>
  <c r="V54" i="37"/>
  <c r="R54" i="36"/>
  <c r="V39" i="38"/>
  <c r="R39" i="37"/>
  <c r="V14" i="37"/>
  <c r="R14" i="36"/>
  <c r="T58" i="33"/>
  <c r="H53" i="32"/>
  <c r="V33" i="35"/>
  <c r="R33" i="34"/>
  <c r="V58" i="26"/>
  <c r="R58" i="25"/>
  <c r="U57" i="29"/>
  <c r="I52" i="28"/>
  <c r="V73" i="33"/>
  <c r="R73" i="32"/>
  <c r="Z73" i="32"/>
  <c r="X36" i="23"/>
  <c r="Y36" i="23" s="1"/>
  <c r="Z36" i="22"/>
  <c r="Z16" i="23"/>
  <c r="X16" i="24"/>
  <c r="Y16" i="24" s="1"/>
  <c r="Z34" i="21"/>
  <c r="X34" i="22"/>
  <c r="Y34" i="22" s="1"/>
  <c r="X13" i="14"/>
  <c r="Z13" i="13"/>
  <c r="Z68" i="13" s="1"/>
  <c r="Z74" i="13" s="1"/>
  <c r="Z70" i="13" s="1"/>
  <c r="Y68" i="13"/>
  <c r="H11" i="22"/>
  <c r="T16" i="23"/>
  <c r="R28" i="46"/>
  <c r="V28" i="47"/>
  <c r="H31" i="27"/>
  <c r="T36" i="28"/>
  <c r="T41" i="30"/>
  <c r="H36" i="29"/>
  <c r="X56" i="21"/>
  <c r="Y56" i="21" s="1"/>
  <c r="Z56" i="20"/>
  <c r="T63" i="38"/>
  <c r="H58" i="37"/>
  <c r="U64" i="53"/>
  <c r="I59" i="52"/>
  <c r="X12" i="16"/>
  <c r="Z12" i="15"/>
  <c r="I36" i="24"/>
  <c r="U41" i="25"/>
  <c r="I57" i="53"/>
  <c r="U62" i="54"/>
  <c r="T59" i="32"/>
  <c r="H54" i="31"/>
  <c r="Z24" i="23"/>
  <c r="X24" i="24"/>
  <c r="Y24" i="24" s="1"/>
  <c r="Z20" i="27"/>
  <c r="X20" i="28"/>
  <c r="Y20" i="28" s="1"/>
  <c r="V17" i="40"/>
  <c r="R17" i="39"/>
  <c r="T13" i="24"/>
  <c r="H8" i="23"/>
  <c r="U17" i="27"/>
  <c r="I12" i="26"/>
  <c r="T24" i="31"/>
  <c r="H19" i="30"/>
  <c r="T18" i="26"/>
  <c r="H13" i="25"/>
  <c r="T25" i="27"/>
  <c r="H20" i="26"/>
  <c r="X57" i="24"/>
  <c r="Y57" i="24" s="1"/>
  <c r="Z57" i="23"/>
  <c r="U40" i="54"/>
  <c r="I35" i="53"/>
  <c r="I29" i="52"/>
  <c r="U34" i="53"/>
  <c r="U61" i="26"/>
  <c r="I56" i="25"/>
  <c r="V63" i="26"/>
  <c r="R63" i="25"/>
  <c r="H14" i="30"/>
  <c r="T19" i="31"/>
  <c r="X33" i="21"/>
  <c r="Y33" i="21" s="1"/>
  <c r="Z33" i="20"/>
  <c r="Z26" i="26"/>
  <c r="X26" i="27"/>
  <c r="Y26" i="27" s="1"/>
  <c r="U74" i="24"/>
  <c r="V72" i="24"/>
  <c r="R68" i="24"/>
  <c r="U73" i="24"/>
  <c r="T33" i="30"/>
  <c r="H28" i="29"/>
  <c r="I46" i="24"/>
  <c r="U51" i="25"/>
  <c r="X43" i="23"/>
  <c r="Y43" i="23" s="1"/>
  <c r="Z43" i="22"/>
  <c r="Z25" i="20"/>
  <c r="X25" i="21"/>
  <c r="Y25" i="21" s="1"/>
  <c r="Z31" i="23"/>
  <c r="X31" i="24"/>
  <c r="Y31" i="24" s="1"/>
  <c r="X27" i="22"/>
  <c r="Y27" i="22" s="1"/>
  <c r="Z27" i="21"/>
  <c r="H44" i="26"/>
  <c r="T49" i="27"/>
  <c r="H22" i="21"/>
  <c r="T27" i="22"/>
  <c r="U18" i="30"/>
  <c r="I13" i="29"/>
  <c r="V12" i="37"/>
  <c r="R12" i="36"/>
  <c r="V60" i="26"/>
  <c r="R60" i="25"/>
  <c r="X14" i="21"/>
  <c r="Y14" i="21" s="1"/>
  <c r="Z14" i="20"/>
  <c r="T35" i="29"/>
  <c r="H30" i="28"/>
  <c r="T26" i="24"/>
  <c r="H21" i="23"/>
  <c r="H23" i="27"/>
  <c r="T28" i="28"/>
  <c r="U27" i="26"/>
  <c r="I22" i="25"/>
  <c r="X54" i="23"/>
  <c r="Y54" i="23" s="1"/>
  <c r="Z54" i="22"/>
  <c r="Z64" i="20"/>
  <c r="X64" i="21"/>
  <c r="Y64" i="21" s="1"/>
  <c r="AA81" i="32"/>
  <c r="AF16" i="32" s="1"/>
  <c r="AA80" i="33"/>
  <c r="X53" i="22"/>
  <c r="Y53" i="22" s="1"/>
  <c r="Z53" i="21"/>
  <c r="T37" i="24"/>
  <c r="H32" i="23"/>
  <c r="H7" i="26"/>
  <c r="T12" i="27"/>
  <c r="Z61" i="21"/>
  <c r="X61" i="22"/>
  <c r="Y61" i="22" s="1"/>
  <c r="H45" i="25"/>
  <c r="T50" i="26"/>
  <c r="T31" i="26"/>
  <c r="H26" i="25"/>
  <c r="Z21" i="22"/>
  <c r="X21" i="23"/>
  <c r="Y21" i="23" s="1"/>
  <c r="T22" i="29"/>
  <c r="H17" i="28"/>
  <c r="U59" i="31"/>
  <c r="I54" i="30"/>
  <c r="U43" i="26"/>
  <c r="I38" i="25"/>
  <c r="X49" i="24"/>
  <c r="Y49" i="24" s="1"/>
  <c r="Z49" i="23"/>
  <c r="X19" i="23"/>
  <c r="Y19" i="23" s="1"/>
  <c r="Z19" i="22"/>
  <c r="T20" i="28"/>
  <c r="H15" i="27"/>
  <c r="T61" i="34"/>
  <c r="H56" i="33"/>
  <c r="T60" i="26"/>
  <c r="H55" i="25"/>
  <c r="T51" i="25"/>
  <c r="H46" i="24"/>
  <c r="T23" i="25"/>
  <c r="H18" i="24"/>
  <c r="U67" i="25"/>
  <c r="I62" i="24"/>
  <c r="Z30" i="20"/>
  <c r="X30" i="21"/>
  <c r="Y30" i="21" s="1"/>
  <c r="V65" i="26"/>
  <c r="R65" i="25"/>
  <c r="Z65" i="25"/>
  <c r="T30" i="23"/>
  <c r="H25" i="22"/>
  <c r="R67" i="25"/>
  <c r="V67" i="26"/>
  <c r="Z67" i="25"/>
  <c r="T53" i="25"/>
  <c r="H48" i="24"/>
  <c r="X29" i="21"/>
  <c r="Y29" i="21" s="1"/>
  <c r="Z29" i="20"/>
  <c r="X52" i="22"/>
  <c r="Y52" i="22" s="1"/>
  <c r="Z52" i="21"/>
  <c r="T38" i="29"/>
  <c r="H33" i="28"/>
  <c r="V56" i="26"/>
  <c r="R56" i="25"/>
  <c r="T32" i="22"/>
  <c r="H27" i="21"/>
  <c r="V42" i="33"/>
  <c r="R42" i="32"/>
  <c r="X58" i="21"/>
  <c r="Y58" i="21" s="1"/>
  <c r="Z58" i="20"/>
  <c r="U63" i="24"/>
  <c r="I58" i="23"/>
  <c r="U22" i="55"/>
  <c r="I17" i="54"/>
  <c r="U58" i="52"/>
  <c r="I53" i="51"/>
  <c r="V78" i="12"/>
  <c r="V79" i="12" s="1"/>
  <c r="AA84" i="12"/>
  <c r="AA86" i="12" s="1"/>
  <c r="Y70" i="12"/>
  <c r="T64" i="24"/>
  <c r="H59" i="23"/>
  <c r="X23" i="21"/>
  <c r="Y23" i="21" s="1"/>
  <c r="Z23" i="20"/>
  <c r="Z22" i="20"/>
  <c r="X22" i="21"/>
  <c r="Y22" i="21" s="1"/>
  <c r="U30" i="53"/>
  <c r="I25" i="52"/>
  <c r="U23" i="30"/>
  <c r="I18" i="29"/>
  <c r="U53" i="26"/>
  <c r="I48" i="25"/>
  <c r="Z62" i="22"/>
  <c r="X62" i="23"/>
  <c r="Y62" i="23" s="1"/>
  <c r="T56" i="24"/>
  <c r="H51" i="23"/>
  <c r="I21" i="34"/>
  <c r="U26" i="35"/>
  <c r="Z39" i="22"/>
  <c r="X39" i="23"/>
  <c r="Y39" i="23" s="1"/>
  <c r="H52" i="32"/>
  <c r="T57" i="33"/>
  <c r="U52" i="30"/>
  <c r="I47" i="29"/>
  <c r="X44" i="22"/>
  <c r="Y44" i="22" s="1"/>
  <c r="Z44" i="21"/>
  <c r="U65" i="24"/>
  <c r="I60" i="23"/>
  <c r="U33" i="27"/>
  <c r="I28" i="26"/>
  <c r="V49" i="26"/>
  <c r="R49" i="25"/>
  <c r="V36" i="26"/>
  <c r="R36" i="25"/>
  <c r="X35" i="22"/>
  <c r="Y35" i="22" s="1"/>
  <c r="Z35" i="21"/>
  <c r="V29" i="26"/>
  <c r="R29" i="25"/>
  <c r="V68" i="25"/>
  <c r="U35" i="26"/>
  <c r="I30" i="25"/>
  <c r="U31" i="26"/>
  <c r="I26" i="25"/>
  <c r="R22" i="49"/>
  <c r="V22" i="50"/>
  <c r="T34" i="24"/>
  <c r="H29" i="23"/>
  <c r="H39" i="25"/>
  <c r="T44" i="26"/>
  <c r="X60" i="22"/>
  <c r="Y60" i="22" s="1"/>
  <c r="Z60" i="21"/>
  <c r="X38" i="21"/>
  <c r="Y38" i="21" s="1"/>
  <c r="Z38" i="20"/>
  <c r="T54" i="25"/>
  <c r="H49" i="24"/>
  <c r="T43" i="29"/>
  <c r="H38" i="28"/>
  <c r="U15" i="26"/>
  <c r="I10" i="25"/>
  <c r="T55" i="38"/>
  <c r="H50" i="37"/>
  <c r="U28" i="26"/>
  <c r="I23" i="25"/>
  <c r="U49" i="29"/>
  <c r="I44" i="28"/>
  <c r="X18" i="23"/>
  <c r="Y18" i="23" s="1"/>
  <c r="Z18" i="22"/>
  <c r="U39" i="30"/>
  <c r="I34" i="29"/>
  <c r="X41" i="22"/>
  <c r="Y41" i="22" s="1"/>
  <c r="Z41" i="21"/>
  <c r="U25" i="28"/>
  <c r="I20" i="27"/>
  <c r="Z15" i="20"/>
  <c r="X15" i="21"/>
  <c r="Y15" i="21" s="1"/>
  <c r="X28" i="23"/>
  <c r="Y28" i="23" s="1"/>
  <c r="Z28" i="22"/>
  <c r="T17" i="27"/>
  <c r="H12" i="26"/>
  <c r="Z50" i="20"/>
  <c r="X50" i="21"/>
  <c r="Y50" i="21" s="1"/>
  <c r="X72" i="34"/>
  <c r="Y72" i="34" s="1"/>
  <c r="AA77" i="33"/>
  <c r="AA79" i="33" s="1"/>
  <c r="X66" i="21"/>
  <c r="Y66" i="21" s="1"/>
  <c r="Z66" i="20"/>
  <c r="U29" i="25"/>
  <c r="I24" i="24"/>
  <c r="V59" i="26"/>
  <c r="R59" i="25"/>
  <c r="Z37" i="20"/>
  <c r="X37" i="21"/>
  <c r="Y37" i="21" s="1"/>
  <c r="U50" i="51"/>
  <c r="I45" i="50"/>
  <c r="T62" i="38"/>
  <c r="H57" i="37"/>
  <c r="X17" i="21"/>
  <c r="Y17" i="21" s="1"/>
  <c r="Z17" i="20"/>
  <c r="T21" i="24"/>
  <c r="H16" i="23"/>
  <c r="Z51" i="22"/>
  <c r="X51" i="23"/>
  <c r="Y51" i="23" s="1"/>
  <c r="X59" i="22"/>
  <c r="Y59" i="22" s="1"/>
  <c r="Z59" i="21"/>
  <c r="U72" i="23"/>
  <c r="V70" i="23"/>
  <c r="Z72" i="23"/>
  <c r="I61" i="29"/>
  <c r="U66" i="30"/>
  <c r="X42" i="26"/>
  <c r="Y42" i="26" s="1"/>
  <c r="Z42" i="25"/>
  <c r="T39" i="33"/>
  <c r="H34" i="32"/>
  <c r="I50" i="23"/>
  <c r="U55" i="24"/>
  <c r="U21" i="25"/>
  <c r="I16" i="24"/>
  <c r="V66" i="26"/>
  <c r="R66" i="25"/>
  <c r="U56" i="57"/>
  <c r="I51" i="57" s="1"/>
  <c r="I51" i="56"/>
  <c r="R55" i="51"/>
  <c r="V55" i="52"/>
  <c r="U42" i="27"/>
  <c r="I37" i="26"/>
  <c r="T14" i="29"/>
  <c r="H9" i="28"/>
  <c r="X32" i="26"/>
  <c r="Y32" i="26" s="1"/>
  <c r="Z32" i="25"/>
  <c r="U19" i="25"/>
  <c r="I14" i="24"/>
  <c r="H37" i="30"/>
  <c r="T42" i="31"/>
  <c r="H10" i="25"/>
  <c r="T15" i="26"/>
  <c r="T52" i="26"/>
  <c r="H47" i="25"/>
  <c r="U37" i="25"/>
  <c r="I32" i="24"/>
  <c r="T29" i="31"/>
  <c r="H24" i="30"/>
  <c r="T40" i="23"/>
  <c r="H35" i="22"/>
  <c r="I33" i="28"/>
  <c r="U38" i="29"/>
  <c r="X55" i="23"/>
  <c r="Y55" i="23" s="1"/>
  <c r="Z55" i="22"/>
  <c r="Z40" i="20"/>
  <c r="X40" i="21"/>
  <c r="Y40" i="21" s="1"/>
  <c r="X63" i="21"/>
  <c r="Y63" i="21" s="1"/>
  <c r="Z63" i="20"/>
  <c r="V37" i="38" l="1"/>
  <c r="R37" i="37"/>
  <c r="U44" i="54"/>
  <c r="I39" i="53"/>
  <c r="V34" i="48"/>
  <c r="R34" i="47"/>
  <c r="V21" i="38"/>
  <c r="R21" i="37"/>
  <c r="V14" i="38"/>
  <c r="R14" i="37"/>
  <c r="V27" i="40"/>
  <c r="R27" i="39"/>
  <c r="V15" i="46"/>
  <c r="R15" i="40"/>
  <c r="R26" i="48"/>
  <c r="V26" i="49"/>
  <c r="I27" i="37"/>
  <c r="U32" i="38"/>
  <c r="I19" i="52"/>
  <c r="U24" i="53"/>
  <c r="V43" i="39"/>
  <c r="R43" i="38"/>
  <c r="I15" i="52"/>
  <c r="U20" i="53"/>
  <c r="V50" i="56"/>
  <c r="R50" i="55"/>
  <c r="V39" i="39"/>
  <c r="R39" i="38"/>
  <c r="V64" i="38"/>
  <c r="R64" i="37"/>
  <c r="U16" i="38"/>
  <c r="I11" i="37"/>
  <c r="V51" i="48"/>
  <c r="R51" i="47"/>
  <c r="R38" i="55"/>
  <c r="V38" i="56"/>
  <c r="U36" i="52"/>
  <c r="I31" i="51"/>
  <c r="U14" i="53"/>
  <c r="I9" i="52"/>
  <c r="V25" i="57"/>
  <c r="R25" i="57" s="1"/>
  <c r="R25" i="56"/>
  <c r="V16" i="38"/>
  <c r="R16" i="37"/>
  <c r="V54" i="38"/>
  <c r="R54" i="37"/>
  <c r="I55" i="37"/>
  <c r="U60" i="38"/>
  <c r="V32" i="38"/>
  <c r="R32" i="37"/>
  <c r="U54" i="53"/>
  <c r="I49" i="52"/>
  <c r="V18" i="40"/>
  <c r="R18" i="39"/>
  <c r="X21" i="24"/>
  <c r="Y21" i="24" s="1"/>
  <c r="Z21" i="23"/>
  <c r="X33" i="22"/>
  <c r="Y33" i="22" s="1"/>
  <c r="Z33" i="21"/>
  <c r="T39" i="34"/>
  <c r="H34" i="33"/>
  <c r="T12" i="28"/>
  <c r="H7" i="27"/>
  <c r="X59" i="23"/>
  <c r="Y59" i="23" s="1"/>
  <c r="Z59" i="22"/>
  <c r="T62" i="39"/>
  <c r="H57" i="39" s="1"/>
  <c r="H57" i="38"/>
  <c r="I20" i="28"/>
  <c r="U25" i="29"/>
  <c r="U49" i="30"/>
  <c r="I44" i="29"/>
  <c r="X60" i="23"/>
  <c r="Y60" i="23" s="1"/>
  <c r="Z60" i="22"/>
  <c r="R22" i="50"/>
  <c r="V22" i="51"/>
  <c r="V36" i="27"/>
  <c r="R36" i="26"/>
  <c r="U26" i="36"/>
  <c r="I21" i="35"/>
  <c r="U22" i="56"/>
  <c r="I17" i="55"/>
  <c r="X52" i="23"/>
  <c r="Y52" i="23" s="1"/>
  <c r="Z52" i="22"/>
  <c r="I62" i="25"/>
  <c r="U67" i="26"/>
  <c r="T61" i="35"/>
  <c r="H56" i="34"/>
  <c r="X49" i="25"/>
  <c r="Y49" i="25" s="1"/>
  <c r="Z49" i="24"/>
  <c r="T27" i="23"/>
  <c r="H22" i="22"/>
  <c r="X25" i="22"/>
  <c r="Y25" i="22" s="1"/>
  <c r="Z25" i="21"/>
  <c r="T19" i="32"/>
  <c r="H14" i="31"/>
  <c r="U61" i="27"/>
  <c r="I56" i="26"/>
  <c r="T25" i="28"/>
  <c r="H20" i="27"/>
  <c r="T13" i="25"/>
  <c r="H8" i="24"/>
  <c r="Y12" i="16"/>
  <c r="H36" i="30"/>
  <c r="T41" i="31"/>
  <c r="AG27" i="13"/>
  <c r="Y74" i="13"/>
  <c r="X36" i="24"/>
  <c r="Y36" i="24" s="1"/>
  <c r="Z36" i="23"/>
  <c r="U53" i="27"/>
  <c r="I48" i="26"/>
  <c r="U19" i="26"/>
  <c r="I14" i="25"/>
  <c r="T64" i="25"/>
  <c r="H59" i="24"/>
  <c r="U34" i="54"/>
  <c r="I29" i="53"/>
  <c r="T59" i="33"/>
  <c r="H54" i="32"/>
  <c r="T36" i="29"/>
  <c r="H31" i="28"/>
  <c r="V58" i="27"/>
  <c r="R58" i="26"/>
  <c r="V59" i="27"/>
  <c r="R59" i="26"/>
  <c r="T33" i="31"/>
  <c r="H28" i="30"/>
  <c r="U42" i="28"/>
  <c r="I37" i="27"/>
  <c r="X44" i="23"/>
  <c r="Y44" i="23" s="1"/>
  <c r="Z44" i="22"/>
  <c r="I18" i="30"/>
  <c r="U23" i="31"/>
  <c r="T30" i="24"/>
  <c r="H25" i="23"/>
  <c r="Z64" i="21"/>
  <c r="X64" i="22"/>
  <c r="Y64" i="22" s="1"/>
  <c r="V60" i="27"/>
  <c r="R60" i="26"/>
  <c r="U38" i="30"/>
  <c r="I33" i="29"/>
  <c r="I61" i="30"/>
  <c r="U66" i="31"/>
  <c r="I45" i="51"/>
  <c r="U50" i="52"/>
  <c r="T17" i="28"/>
  <c r="H12" i="27"/>
  <c r="Z41" i="22"/>
  <c r="X41" i="23"/>
  <c r="Y41" i="23" s="1"/>
  <c r="U28" i="27"/>
  <c r="I23" i="26"/>
  <c r="H38" i="29"/>
  <c r="T43" i="30"/>
  <c r="U63" i="25"/>
  <c r="I58" i="24"/>
  <c r="X29" i="22"/>
  <c r="Y29" i="22" s="1"/>
  <c r="Z29" i="21"/>
  <c r="H18" i="25"/>
  <c r="T23" i="26"/>
  <c r="T20" i="29"/>
  <c r="H15" i="28"/>
  <c r="U43" i="27"/>
  <c r="I38" i="26"/>
  <c r="H26" i="26"/>
  <c r="T31" i="27"/>
  <c r="T37" i="25"/>
  <c r="H32" i="24"/>
  <c r="T26" i="25"/>
  <c r="H21" i="24"/>
  <c r="H44" i="27"/>
  <c r="T49" i="28"/>
  <c r="V70" i="24"/>
  <c r="U72" i="24"/>
  <c r="Z72" i="24"/>
  <c r="H13" i="26"/>
  <c r="T18" i="27"/>
  <c r="I57" i="54"/>
  <c r="U62" i="55"/>
  <c r="U64" i="54"/>
  <c r="I59" i="53"/>
  <c r="Y13" i="14"/>
  <c r="X68" i="14"/>
  <c r="X74" i="14" s="1"/>
  <c r="V42" i="34"/>
  <c r="R42" i="33"/>
  <c r="U37" i="26"/>
  <c r="I32" i="25"/>
  <c r="V66" i="27"/>
  <c r="R66" i="26"/>
  <c r="U29" i="26"/>
  <c r="I24" i="25"/>
  <c r="V29" i="27"/>
  <c r="R29" i="26"/>
  <c r="V68" i="26"/>
  <c r="Z32" i="26"/>
  <c r="X32" i="27"/>
  <c r="Y32" i="27" s="1"/>
  <c r="R55" i="52"/>
  <c r="V55" i="53"/>
  <c r="U21" i="26"/>
  <c r="I16" i="25"/>
  <c r="Z37" i="21"/>
  <c r="X37" i="22"/>
  <c r="Y37" i="22" s="1"/>
  <c r="X66" i="22"/>
  <c r="Y66" i="22" s="1"/>
  <c r="Z66" i="21"/>
  <c r="H39" i="26"/>
  <c r="T44" i="27"/>
  <c r="U31" i="27"/>
  <c r="I26" i="26"/>
  <c r="V49" i="27"/>
  <c r="R49" i="26"/>
  <c r="I47" i="30"/>
  <c r="U52" i="31"/>
  <c r="T56" i="25"/>
  <c r="H51" i="24"/>
  <c r="I25" i="53"/>
  <c r="U30" i="54"/>
  <c r="AA88" i="12"/>
  <c r="AF14" i="12" s="1"/>
  <c r="AA87" i="13"/>
  <c r="H45" i="26"/>
  <c r="T50" i="27"/>
  <c r="X43" i="24"/>
  <c r="Y43" i="24" s="1"/>
  <c r="Z43" i="23"/>
  <c r="V17" i="46"/>
  <c r="R17" i="40"/>
  <c r="Z34" i="22"/>
  <c r="X34" i="23"/>
  <c r="Y34" i="23" s="1"/>
  <c r="T14" i="30"/>
  <c r="H9" i="29"/>
  <c r="Z23" i="21"/>
  <c r="X23" i="22"/>
  <c r="Y23" i="22" s="1"/>
  <c r="I13" i="30"/>
  <c r="U18" i="31"/>
  <c r="X42" i="27"/>
  <c r="Y42" i="27" s="1"/>
  <c r="Z42" i="26"/>
  <c r="H10" i="26"/>
  <c r="T15" i="27"/>
  <c r="AA80" i="34"/>
  <c r="AA81" i="33"/>
  <c r="AF16" i="33" s="1"/>
  <c r="T55" i="39"/>
  <c r="H50" i="39" s="1"/>
  <c r="H50" i="38"/>
  <c r="H49" i="25"/>
  <c r="T54" i="26"/>
  <c r="H52" i="33"/>
  <c r="T57" i="34"/>
  <c r="Z62" i="23"/>
  <c r="X62" i="24"/>
  <c r="Y62" i="24" s="1"/>
  <c r="Z22" i="21"/>
  <c r="X22" i="22"/>
  <c r="Y22" i="22" s="1"/>
  <c r="X58" i="22"/>
  <c r="Y58" i="22" s="1"/>
  <c r="Z58" i="21"/>
  <c r="V56" i="27"/>
  <c r="R56" i="26"/>
  <c r="T53" i="26"/>
  <c r="H48" i="25"/>
  <c r="V65" i="27"/>
  <c r="R65" i="26"/>
  <c r="Z65" i="26"/>
  <c r="H46" i="25"/>
  <c r="T51" i="26"/>
  <c r="X19" i="24"/>
  <c r="Y19" i="24" s="1"/>
  <c r="Z19" i="23"/>
  <c r="U59" i="32"/>
  <c r="I54" i="31"/>
  <c r="Z53" i="22"/>
  <c r="X53" i="23"/>
  <c r="Y53" i="23" s="1"/>
  <c r="X54" i="24"/>
  <c r="Y54" i="24" s="1"/>
  <c r="Z54" i="23"/>
  <c r="T35" i="30"/>
  <c r="H30" i="29"/>
  <c r="I46" i="25"/>
  <c r="U51" i="26"/>
  <c r="Z26" i="27"/>
  <c r="X26" i="28"/>
  <c r="Y26" i="28" s="1"/>
  <c r="V63" i="27"/>
  <c r="R63" i="26"/>
  <c r="U40" i="55"/>
  <c r="I35" i="54"/>
  <c r="H19" i="31"/>
  <c r="T24" i="32"/>
  <c r="Z20" i="28"/>
  <c r="X20" i="29"/>
  <c r="Y20" i="29" s="1"/>
  <c r="I36" i="25"/>
  <c r="U41" i="26"/>
  <c r="T63" i="39"/>
  <c r="H58" i="39" s="1"/>
  <c r="H58" i="38"/>
  <c r="V28" i="48"/>
  <c r="R28" i="47"/>
  <c r="V73" i="34"/>
  <c r="R73" i="33"/>
  <c r="Z73" i="33"/>
  <c r="V33" i="36"/>
  <c r="R33" i="35"/>
  <c r="T28" i="29"/>
  <c r="H23" i="28"/>
  <c r="Z55" i="23"/>
  <c r="X55" i="24"/>
  <c r="Y55" i="24" s="1"/>
  <c r="X51" i="24"/>
  <c r="Y51" i="24" s="1"/>
  <c r="Z51" i="23"/>
  <c r="H27" i="22"/>
  <c r="T32" i="23"/>
  <c r="T52" i="27"/>
  <c r="H47" i="26"/>
  <c r="X63" i="22"/>
  <c r="Y63" i="22" s="1"/>
  <c r="Z63" i="21"/>
  <c r="U55" i="25"/>
  <c r="I50" i="24"/>
  <c r="T21" i="25"/>
  <c r="H16" i="24"/>
  <c r="Z28" i="23"/>
  <c r="X28" i="24"/>
  <c r="Y28" i="24" s="1"/>
  <c r="I34" i="30"/>
  <c r="U39" i="31"/>
  <c r="T40" i="24"/>
  <c r="H35" i="23"/>
  <c r="X15" i="22"/>
  <c r="Y15" i="22" s="1"/>
  <c r="Z15" i="21"/>
  <c r="U35" i="27"/>
  <c r="I30" i="26"/>
  <c r="Z35" i="22"/>
  <c r="X35" i="23"/>
  <c r="Y35" i="23" s="1"/>
  <c r="U33" i="28"/>
  <c r="I28" i="27"/>
  <c r="Z30" i="21"/>
  <c r="X30" i="22"/>
  <c r="Y30" i="22" s="1"/>
  <c r="Z61" i="22"/>
  <c r="X61" i="23"/>
  <c r="Y61" i="23" s="1"/>
  <c r="V12" i="38"/>
  <c r="R12" i="37"/>
  <c r="Z27" i="22"/>
  <c r="X27" i="23"/>
  <c r="Y27" i="23" s="1"/>
  <c r="X16" i="25"/>
  <c r="Y16" i="25" s="1"/>
  <c r="Z16" i="24"/>
  <c r="H24" i="31"/>
  <c r="T29" i="32"/>
  <c r="Z50" i="21"/>
  <c r="X50" i="22"/>
  <c r="Y50" i="22" s="1"/>
  <c r="U65" i="25"/>
  <c r="I60" i="24"/>
  <c r="X40" i="22"/>
  <c r="Y40" i="22" s="1"/>
  <c r="Z40" i="21"/>
  <c r="H37" i="31"/>
  <c r="T42" i="32"/>
  <c r="X17" i="22"/>
  <c r="Y17" i="22" s="1"/>
  <c r="Z17" i="21"/>
  <c r="AA77" i="34"/>
  <c r="AA79" i="34" s="1"/>
  <c r="X72" i="35"/>
  <c r="Y72" i="35" s="1"/>
  <c r="X18" i="24"/>
  <c r="Y18" i="24" s="1"/>
  <c r="Z18" i="23"/>
  <c r="U15" i="27"/>
  <c r="I10" i="26"/>
  <c r="X38" i="22"/>
  <c r="Y38" i="22" s="1"/>
  <c r="Z38" i="21"/>
  <c r="T34" i="25"/>
  <c r="H29" i="24"/>
  <c r="U74" i="25"/>
  <c r="V72" i="25"/>
  <c r="R68" i="25"/>
  <c r="U73" i="25"/>
  <c r="Z39" i="23"/>
  <c r="X39" i="24"/>
  <c r="Y39" i="24" s="1"/>
  <c r="U58" i="53"/>
  <c r="I53" i="52"/>
  <c r="T38" i="30"/>
  <c r="H33" i="29"/>
  <c r="V67" i="27"/>
  <c r="R67" i="26"/>
  <c r="Z67" i="26"/>
  <c r="T60" i="27"/>
  <c r="H55" i="26"/>
  <c r="T22" i="30"/>
  <c r="H17" i="29"/>
  <c r="U27" i="27"/>
  <c r="I22" i="26"/>
  <c r="Z14" i="21"/>
  <c r="X14" i="22"/>
  <c r="Y14" i="22" s="1"/>
  <c r="X31" i="25"/>
  <c r="Y31" i="25" s="1"/>
  <c r="Z31" i="24"/>
  <c r="X57" i="25"/>
  <c r="Y57" i="25" s="1"/>
  <c r="Z57" i="24"/>
  <c r="U17" i="28"/>
  <c r="I12" i="27"/>
  <c r="X24" i="25"/>
  <c r="Y24" i="25" s="1"/>
  <c r="Z24" i="24"/>
  <c r="X56" i="22"/>
  <c r="Y56" i="22" s="1"/>
  <c r="Z56" i="21"/>
  <c r="T16" i="24"/>
  <c r="H11" i="23"/>
  <c r="U57" i="30"/>
  <c r="I52" i="29"/>
  <c r="T58" i="34"/>
  <c r="H53" i="33"/>
  <c r="U60" i="39" l="1"/>
  <c r="I55" i="38"/>
  <c r="U20" i="54"/>
  <c r="I15" i="53"/>
  <c r="R26" i="49"/>
  <c r="V26" i="50"/>
  <c r="U14" i="54"/>
  <c r="I9" i="53"/>
  <c r="U16" i="39"/>
  <c r="I11" i="38"/>
  <c r="V21" i="39"/>
  <c r="R21" i="38"/>
  <c r="R18" i="40"/>
  <c r="V18" i="46"/>
  <c r="V54" i="39"/>
  <c r="R54" i="38"/>
  <c r="I31" i="52"/>
  <c r="U36" i="53"/>
  <c r="V64" i="39"/>
  <c r="R64" i="38"/>
  <c r="V43" i="40"/>
  <c r="R43" i="39"/>
  <c r="R15" i="46"/>
  <c r="V15" i="47"/>
  <c r="R34" i="48"/>
  <c r="V34" i="49"/>
  <c r="R38" i="56"/>
  <c r="V38" i="57"/>
  <c r="R38" i="57" s="1"/>
  <c r="I19" i="53"/>
  <c r="U24" i="54"/>
  <c r="U54" i="54"/>
  <c r="I49" i="53"/>
  <c r="V16" i="39"/>
  <c r="R16" i="38"/>
  <c r="V39" i="40"/>
  <c r="R39" i="39"/>
  <c r="V27" i="46"/>
  <c r="R27" i="40"/>
  <c r="I39" i="54"/>
  <c r="U44" i="55"/>
  <c r="I27" i="38"/>
  <c r="U32" i="39"/>
  <c r="V32" i="39"/>
  <c r="R32" i="38"/>
  <c r="V51" i="49"/>
  <c r="R51" i="48"/>
  <c r="V50" i="57"/>
  <c r="R50" i="57" s="1"/>
  <c r="R50" i="56"/>
  <c r="V14" i="39"/>
  <c r="R14" i="38"/>
  <c r="V37" i="39"/>
  <c r="R37" i="38"/>
  <c r="X56" i="23"/>
  <c r="Y56" i="23" s="1"/>
  <c r="Z56" i="22"/>
  <c r="T22" i="31"/>
  <c r="H17" i="30"/>
  <c r="U72" i="25"/>
  <c r="V70" i="25"/>
  <c r="Z72" i="25"/>
  <c r="R12" i="38"/>
  <c r="V12" i="39"/>
  <c r="I28" i="28"/>
  <c r="U33" i="29"/>
  <c r="T40" i="25"/>
  <c r="H35" i="24"/>
  <c r="U55" i="26"/>
  <c r="I50" i="25"/>
  <c r="V28" i="49"/>
  <c r="R28" i="48"/>
  <c r="I46" i="26"/>
  <c r="U51" i="27"/>
  <c r="V65" i="28"/>
  <c r="R65" i="27"/>
  <c r="Z65" i="27"/>
  <c r="X22" i="23"/>
  <c r="Y22" i="23" s="1"/>
  <c r="Z22" i="22"/>
  <c r="X42" i="28"/>
  <c r="Y42" i="28" s="1"/>
  <c r="Z42" i="27"/>
  <c r="V55" i="54"/>
  <c r="R55" i="53"/>
  <c r="H13" i="27"/>
  <c r="T18" i="28"/>
  <c r="T26" i="26"/>
  <c r="H21" i="25"/>
  <c r="T20" i="30"/>
  <c r="H15" i="29"/>
  <c r="X64" i="23"/>
  <c r="Y64" i="23" s="1"/>
  <c r="Z64" i="22"/>
  <c r="Y70" i="13"/>
  <c r="AA84" i="13"/>
  <c r="AA86" i="13" s="1"/>
  <c r="V78" i="13"/>
  <c r="V79" i="13" s="1"/>
  <c r="V36" i="28"/>
  <c r="R36" i="27"/>
  <c r="U15" i="28"/>
  <c r="I10" i="27"/>
  <c r="T58" i="35"/>
  <c r="H53" i="34"/>
  <c r="H33" i="30"/>
  <c r="T38" i="31"/>
  <c r="Z18" i="24"/>
  <c r="X18" i="25"/>
  <c r="Y18" i="25" s="1"/>
  <c r="Z35" i="23"/>
  <c r="X35" i="24"/>
  <c r="Y35" i="24" s="1"/>
  <c r="I34" i="31"/>
  <c r="U39" i="32"/>
  <c r="V33" i="37"/>
  <c r="R33" i="36"/>
  <c r="U59" i="33"/>
  <c r="I54" i="32"/>
  <c r="I13" i="31"/>
  <c r="U18" i="32"/>
  <c r="I24" i="26"/>
  <c r="U29" i="27"/>
  <c r="V42" i="35"/>
  <c r="R42" i="34"/>
  <c r="H18" i="26"/>
  <c r="T23" i="27"/>
  <c r="I61" i="31"/>
  <c r="U66" i="32"/>
  <c r="U42" i="29"/>
  <c r="I37" i="28"/>
  <c r="V58" i="28"/>
  <c r="R58" i="27"/>
  <c r="T64" i="26"/>
  <c r="H59" i="25"/>
  <c r="T25" i="29"/>
  <c r="H20" i="28"/>
  <c r="T27" i="24"/>
  <c r="H22" i="23"/>
  <c r="Z52" i="23"/>
  <c r="X52" i="24"/>
  <c r="Y52" i="24" s="1"/>
  <c r="I44" i="30"/>
  <c r="U49" i="31"/>
  <c r="T12" i="29"/>
  <c r="H7" i="28"/>
  <c r="Z24" i="25"/>
  <c r="X24" i="26"/>
  <c r="Y24" i="26" s="1"/>
  <c r="X31" i="26"/>
  <c r="Y31" i="26" s="1"/>
  <c r="Z31" i="25"/>
  <c r="AA77" i="35"/>
  <c r="AA79" i="35" s="1"/>
  <c r="X72" i="36"/>
  <c r="Y72" i="36" s="1"/>
  <c r="X40" i="23"/>
  <c r="Y40" i="23" s="1"/>
  <c r="Z40" i="22"/>
  <c r="X16" i="26"/>
  <c r="Y16" i="26" s="1"/>
  <c r="Z16" i="25"/>
  <c r="X51" i="25"/>
  <c r="Y51" i="25" s="1"/>
  <c r="Z51" i="24"/>
  <c r="U40" i="56"/>
  <c r="I35" i="55"/>
  <c r="T53" i="27"/>
  <c r="H48" i="26"/>
  <c r="X62" i="25"/>
  <c r="Y62" i="25" s="1"/>
  <c r="Z62" i="24"/>
  <c r="U30" i="55"/>
  <c r="I25" i="54"/>
  <c r="V49" i="28"/>
  <c r="R49" i="27"/>
  <c r="X66" i="23"/>
  <c r="Y66" i="23" s="1"/>
  <c r="Z66" i="22"/>
  <c r="Z32" i="27"/>
  <c r="X32" i="28"/>
  <c r="Y32" i="28" s="1"/>
  <c r="T37" i="26"/>
  <c r="H32" i="25"/>
  <c r="U28" i="28"/>
  <c r="I23" i="27"/>
  <c r="H36" i="31"/>
  <c r="T41" i="32"/>
  <c r="R22" i="51"/>
  <c r="V22" i="52"/>
  <c r="U25" i="30"/>
  <c r="I20" i="29"/>
  <c r="I52" i="30"/>
  <c r="U57" i="31"/>
  <c r="X14" i="23"/>
  <c r="Y14" i="23" s="1"/>
  <c r="Z14" i="22"/>
  <c r="U58" i="54"/>
  <c r="I53" i="53"/>
  <c r="T34" i="26"/>
  <c r="H29" i="25"/>
  <c r="AA81" i="34"/>
  <c r="AF16" i="34" s="1"/>
  <c r="AA80" i="35"/>
  <c r="Z27" i="23"/>
  <c r="X27" i="24"/>
  <c r="Y27" i="24" s="1"/>
  <c r="Z61" i="23"/>
  <c r="X61" i="24"/>
  <c r="Y61" i="24" s="1"/>
  <c r="Z28" i="24"/>
  <c r="X28" i="25"/>
  <c r="Y28" i="25" s="1"/>
  <c r="X55" i="25"/>
  <c r="Y55" i="25" s="1"/>
  <c r="Z55" i="24"/>
  <c r="U41" i="27"/>
  <c r="I36" i="26"/>
  <c r="H30" i="30"/>
  <c r="T35" i="31"/>
  <c r="Z19" i="24"/>
  <c r="X19" i="25"/>
  <c r="Y19" i="25" s="1"/>
  <c r="Z23" i="22"/>
  <c r="X23" i="23"/>
  <c r="Y23" i="23" s="1"/>
  <c r="R17" i="46"/>
  <c r="V17" i="47"/>
  <c r="Z37" i="22"/>
  <c r="X37" i="23"/>
  <c r="Y37" i="23" s="1"/>
  <c r="X13" i="15"/>
  <c r="Z13" i="14"/>
  <c r="Z68" i="14" s="1"/>
  <c r="Z74" i="14" s="1"/>
  <c r="Z70" i="14" s="1"/>
  <c r="Y68" i="14"/>
  <c r="H26" i="27"/>
  <c r="T31" i="28"/>
  <c r="Z41" i="23"/>
  <c r="X41" i="24"/>
  <c r="Y41" i="24" s="1"/>
  <c r="T30" i="25"/>
  <c r="H25" i="24"/>
  <c r="H28" i="31"/>
  <c r="T33" i="32"/>
  <c r="T36" i="30"/>
  <c r="H31" i="29"/>
  <c r="U19" i="27"/>
  <c r="I14" i="26"/>
  <c r="I56" i="27"/>
  <c r="U61" i="28"/>
  <c r="X49" i="26"/>
  <c r="Y49" i="26" s="1"/>
  <c r="Z49" i="25"/>
  <c r="U22" i="57"/>
  <c r="I17" i="57" s="1"/>
  <c r="I17" i="56"/>
  <c r="T39" i="35"/>
  <c r="H34" i="34"/>
  <c r="I12" i="28"/>
  <c r="U17" i="29"/>
  <c r="H55" i="27"/>
  <c r="T60" i="28"/>
  <c r="X39" i="25"/>
  <c r="Y39" i="25" s="1"/>
  <c r="Z39" i="24"/>
  <c r="U65" i="26"/>
  <c r="I60" i="25"/>
  <c r="I30" i="27"/>
  <c r="U35" i="28"/>
  <c r="X63" i="23"/>
  <c r="Y63" i="23" s="1"/>
  <c r="Z63" i="22"/>
  <c r="H46" i="26"/>
  <c r="T51" i="27"/>
  <c r="T57" i="35"/>
  <c r="H52" i="34"/>
  <c r="U74" i="26"/>
  <c r="V72" i="26"/>
  <c r="R68" i="26"/>
  <c r="U73" i="26"/>
  <c r="V66" i="28"/>
  <c r="R66" i="27"/>
  <c r="X29" i="23"/>
  <c r="Y29" i="23" s="1"/>
  <c r="Z29" i="22"/>
  <c r="U38" i="31"/>
  <c r="I33" i="30"/>
  <c r="I18" i="31"/>
  <c r="U23" i="32"/>
  <c r="X38" i="23"/>
  <c r="Y38" i="23" s="1"/>
  <c r="Z38" i="22"/>
  <c r="Z50" i="22"/>
  <c r="X50" i="23"/>
  <c r="Y50" i="23" s="1"/>
  <c r="X30" i="23"/>
  <c r="Y30" i="23" s="1"/>
  <c r="Z30" i="22"/>
  <c r="V73" i="35"/>
  <c r="R73" i="34"/>
  <c r="Z73" i="34"/>
  <c r="X20" i="30"/>
  <c r="Y20" i="30" s="1"/>
  <c r="Z20" i="29"/>
  <c r="V63" i="28"/>
  <c r="R63" i="27"/>
  <c r="Z54" i="24"/>
  <c r="X54" i="25"/>
  <c r="Y54" i="25" s="1"/>
  <c r="V56" i="28"/>
  <c r="R56" i="27"/>
  <c r="H10" i="27"/>
  <c r="T15" i="28"/>
  <c r="Z43" i="24"/>
  <c r="X43" i="25"/>
  <c r="Y43" i="25" s="1"/>
  <c r="T56" i="26"/>
  <c r="H51" i="25"/>
  <c r="U64" i="55"/>
  <c r="I59" i="54"/>
  <c r="H44" i="28"/>
  <c r="T49" i="29"/>
  <c r="H54" i="33"/>
  <c r="T59" i="34"/>
  <c r="I48" i="27"/>
  <c r="U53" i="28"/>
  <c r="X12" i="17"/>
  <c r="Z12" i="16"/>
  <c r="T19" i="33"/>
  <c r="H14" i="32"/>
  <c r="T61" i="36"/>
  <c r="H56" i="35"/>
  <c r="I21" i="36"/>
  <c r="U26" i="37"/>
  <c r="X60" i="24"/>
  <c r="Y60" i="24" s="1"/>
  <c r="Z60" i="23"/>
  <c r="X33" i="23"/>
  <c r="Y33" i="23" s="1"/>
  <c r="Z33" i="22"/>
  <c r="T16" i="25"/>
  <c r="H11" i="24"/>
  <c r="X57" i="26"/>
  <c r="Y57" i="26" s="1"/>
  <c r="Z57" i="25"/>
  <c r="I22" i="27"/>
  <c r="U27" i="28"/>
  <c r="Z17" i="22"/>
  <c r="X17" i="23"/>
  <c r="Y17" i="23" s="1"/>
  <c r="X15" i="23"/>
  <c r="Y15" i="23" s="1"/>
  <c r="Z15" i="22"/>
  <c r="T21" i="26"/>
  <c r="H16" i="25"/>
  <c r="H47" i="27"/>
  <c r="T52" i="28"/>
  <c r="T28" i="30"/>
  <c r="H23" i="29"/>
  <c r="Z26" i="28"/>
  <c r="X26" i="29"/>
  <c r="Y26" i="29" s="1"/>
  <c r="Z53" i="23"/>
  <c r="X53" i="24"/>
  <c r="Y53" i="24" s="1"/>
  <c r="H49" i="26"/>
  <c r="T54" i="27"/>
  <c r="T14" i="31"/>
  <c r="H9" i="30"/>
  <c r="H45" i="27"/>
  <c r="T50" i="28"/>
  <c r="I47" i="31"/>
  <c r="U52" i="32"/>
  <c r="U31" i="28"/>
  <c r="I26" i="27"/>
  <c r="I16" i="26"/>
  <c r="U21" i="27"/>
  <c r="I32" i="26"/>
  <c r="U37" i="27"/>
  <c r="U62" i="56"/>
  <c r="I57" i="55"/>
  <c r="I38" i="27"/>
  <c r="U43" i="28"/>
  <c r="U63" i="26"/>
  <c r="I58" i="25"/>
  <c r="T17" i="29"/>
  <c r="H12" i="28"/>
  <c r="V59" i="28"/>
  <c r="R59" i="27"/>
  <c r="I62" i="26"/>
  <c r="U67" i="27"/>
  <c r="V67" i="28"/>
  <c r="R67" i="27"/>
  <c r="Z67" i="27"/>
  <c r="H37" i="32"/>
  <c r="T42" i="33"/>
  <c r="T29" i="33"/>
  <c r="H24" i="32"/>
  <c r="T32" i="24"/>
  <c r="H27" i="23"/>
  <c r="H19" i="32"/>
  <c r="T24" i="33"/>
  <c r="X58" i="23"/>
  <c r="Y58" i="23" s="1"/>
  <c r="Z58" i="22"/>
  <c r="X34" i="24"/>
  <c r="Y34" i="24" s="1"/>
  <c r="Z34" i="23"/>
  <c r="T44" i="28"/>
  <c r="H39" i="27"/>
  <c r="V29" i="28"/>
  <c r="R29" i="27"/>
  <c r="V68" i="27"/>
  <c r="T43" i="31"/>
  <c r="H38" i="30"/>
  <c r="I45" i="52"/>
  <c r="U50" i="53"/>
  <c r="V60" i="28"/>
  <c r="R60" i="27"/>
  <c r="Z44" i="23"/>
  <c r="X44" i="24"/>
  <c r="Y44" i="24" s="1"/>
  <c r="U34" i="55"/>
  <c r="I29" i="54"/>
  <c r="X36" i="25"/>
  <c r="Y36" i="25" s="1"/>
  <c r="Z36" i="24"/>
  <c r="T13" i="26"/>
  <c r="H8" i="25"/>
  <c r="Z25" i="22"/>
  <c r="X25" i="23"/>
  <c r="Y25" i="23" s="1"/>
  <c r="X59" i="24"/>
  <c r="Y59" i="24" s="1"/>
  <c r="Z59" i="23"/>
  <c r="Z21" i="24"/>
  <c r="X21" i="25"/>
  <c r="Y21" i="25" s="1"/>
  <c r="U24" i="55" l="1"/>
  <c r="I19" i="54"/>
  <c r="R18" i="46"/>
  <c r="V18" i="47"/>
  <c r="R26" i="50"/>
  <c r="V26" i="51"/>
  <c r="V15" i="48"/>
  <c r="R15" i="47"/>
  <c r="U54" i="55"/>
  <c r="I49" i="54"/>
  <c r="V51" i="50"/>
  <c r="R51" i="49"/>
  <c r="V27" i="47"/>
  <c r="R27" i="46"/>
  <c r="R43" i="40"/>
  <c r="V43" i="46"/>
  <c r="V54" i="40"/>
  <c r="R54" i="39"/>
  <c r="U44" i="56"/>
  <c r="I39" i="55"/>
  <c r="V37" i="40"/>
  <c r="R37" i="39"/>
  <c r="V32" i="40"/>
  <c r="R32" i="39"/>
  <c r="R39" i="40"/>
  <c r="V39" i="46"/>
  <c r="V64" i="40"/>
  <c r="R64" i="39"/>
  <c r="V21" i="40"/>
  <c r="R21" i="39"/>
  <c r="I15" i="54"/>
  <c r="U20" i="55"/>
  <c r="U14" i="55"/>
  <c r="I9" i="54"/>
  <c r="U32" i="40"/>
  <c r="I27" i="39"/>
  <c r="R34" i="49"/>
  <c r="V34" i="50"/>
  <c r="U36" i="54"/>
  <c r="I31" i="53"/>
  <c r="V14" i="40"/>
  <c r="R14" i="39"/>
  <c r="V16" i="40"/>
  <c r="R16" i="39"/>
  <c r="I11" i="39"/>
  <c r="U16" i="40"/>
  <c r="I55" i="39"/>
  <c r="U60" i="40"/>
  <c r="T13" i="27"/>
  <c r="H8" i="26"/>
  <c r="X21" i="26"/>
  <c r="Y21" i="26" s="1"/>
  <c r="Z21" i="25"/>
  <c r="T21" i="27"/>
  <c r="H16" i="26"/>
  <c r="U53" i="29"/>
  <c r="I48" i="28"/>
  <c r="T30" i="26"/>
  <c r="H25" i="25"/>
  <c r="Z31" i="26"/>
  <c r="X31" i="27"/>
  <c r="Y31" i="27" s="1"/>
  <c r="I50" i="26"/>
  <c r="U55" i="27"/>
  <c r="Z26" i="29"/>
  <c r="X26" i="30"/>
  <c r="Y26" i="30" s="1"/>
  <c r="Z38" i="23"/>
  <c r="X38" i="24"/>
  <c r="Y38" i="24" s="1"/>
  <c r="X41" i="25"/>
  <c r="Y41" i="25" s="1"/>
  <c r="Z41" i="24"/>
  <c r="T35" i="32"/>
  <c r="H30" i="31"/>
  <c r="T37" i="27"/>
  <c r="H32" i="26"/>
  <c r="V49" i="29"/>
  <c r="R49" i="28"/>
  <c r="I35" i="56"/>
  <c r="U40" i="57"/>
  <c r="I35" i="57" s="1"/>
  <c r="Z16" i="26"/>
  <c r="X16" i="27"/>
  <c r="Y16" i="27" s="1"/>
  <c r="Z24" i="26"/>
  <c r="X24" i="27"/>
  <c r="Y24" i="27" s="1"/>
  <c r="V58" i="29"/>
  <c r="R58" i="28"/>
  <c r="U15" i="29"/>
  <c r="I10" i="28"/>
  <c r="Z64" i="23"/>
  <c r="X64" i="24"/>
  <c r="Y64" i="24" s="1"/>
  <c r="V65" i="29"/>
  <c r="R65" i="28"/>
  <c r="Z65" i="28"/>
  <c r="X53" i="25"/>
  <c r="Y53" i="25" s="1"/>
  <c r="Z53" i="24"/>
  <c r="X57" i="27"/>
  <c r="Y57" i="27" s="1"/>
  <c r="Z57" i="26"/>
  <c r="V56" i="29"/>
  <c r="R56" i="28"/>
  <c r="T34" i="27"/>
  <c r="H29" i="26"/>
  <c r="U50" i="54"/>
  <c r="I45" i="53"/>
  <c r="V67" i="29"/>
  <c r="R67" i="28"/>
  <c r="Z67" i="28"/>
  <c r="U37" i="28"/>
  <c r="I32" i="27"/>
  <c r="T56" i="27"/>
  <c r="H51" i="26"/>
  <c r="T44" i="29"/>
  <c r="H39" i="28"/>
  <c r="T32" i="25"/>
  <c r="H27" i="24"/>
  <c r="T17" i="30"/>
  <c r="H12" i="29"/>
  <c r="Z15" i="23"/>
  <c r="X15" i="24"/>
  <c r="Y15" i="24" s="1"/>
  <c r="T16" i="26"/>
  <c r="H11" i="25"/>
  <c r="T61" i="37"/>
  <c r="H56" i="36"/>
  <c r="T59" i="35"/>
  <c r="H54" i="34"/>
  <c r="Z43" i="25"/>
  <c r="X43" i="26"/>
  <c r="Y43" i="26" s="1"/>
  <c r="I18" i="32"/>
  <c r="U23" i="33"/>
  <c r="V66" i="29"/>
  <c r="R66" i="28"/>
  <c r="T57" i="36"/>
  <c r="H52" i="35"/>
  <c r="U65" i="27"/>
  <c r="I60" i="26"/>
  <c r="T39" i="36"/>
  <c r="H34" i="35"/>
  <c r="I14" i="27"/>
  <c r="U19" i="28"/>
  <c r="U58" i="55"/>
  <c r="I53" i="54"/>
  <c r="R22" i="52"/>
  <c r="V22" i="53"/>
  <c r="T27" i="25"/>
  <c r="H22" i="24"/>
  <c r="V42" i="36"/>
  <c r="R42" i="35"/>
  <c r="T38" i="32"/>
  <c r="H33" i="31"/>
  <c r="V55" i="55"/>
  <c r="R55" i="54"/>
  <c r="U51" i="28"/>
  <c r="I46" i="27"/>
  <c r="T40" i="26"/>
  <c r="H35" i="25"/>
  <c r="V29" i="29"/>
  <c r="R29" i="28"/>
  <c r="V68" i="28"/>
  <c r="U62" i="57"/>
  <c r="I57" i="57" s="1"/>
  <c r="I57" i="56"/>
  <c r="X37" i="24"/>
  <c r="Y37" i="24" s="1"/>
  <c r="Z37" i="23"/>
  <c r="U25" i="31"/>
  <c r="I20" i="30"/>
  <c r="Z18" i="25"/>
  <c r="X18" i="26"/>
  <c r="Y18" i="26" s="1"/>
  <c r="T50" i="29"/>
  <c r="H45" i="28"/>
  <c r="Z54" i="25"/>
  <c r="X54" i="26"/>
  <c r="Y54" i="26" s="1"/>
  <c r="X61" i="25"/>
  <c r="Y61" i="25" s="1"/>
  <c r="Z61" i="24"/>
  <c r="X59" i="25"/>
  <c r="Y59" i="25" s="1"/>
  <c r="Z59" i="24"/>
  <c r="I29" i="55"/>
  <c r="U34" i="56"/>
  <c r="U21" i="28"/>
  <c r="I16" i="27"/>
  <c r="Z17" i="23"/>
  <c r="X17" i="24"/>
  <c r="Y17" i="24" s="1"/>
  <c r="V73" i="36"/>
  <c r="R73" i="35"/>
  <c r="Z73" i="35"/>
  <c r="T51" i="28"/>
  <c r="H46" i="27"/>
  <c r="H26" i="28"/>
  <c r="T31" i="29"/>
  <c r="R17" i="47"/>
  <c r="V17" i="48"/>
  <c r="X27" i="25"/>
  <c r="Y27" i="25" s="1"/>
  <c r="Z27" i="24"/>
  <c r="Z32" i="28"/>
  <c r="X32" i="29"/>
  <c r="Y32" i="29" s="1"/>
  <c r="U30" i="56"/>
  <c r="I25" i="55"/>
  <c r="Z51" i="25"/>
  <c r="X51" i="26"/>
  <c r="Y51" i="26" s="1"/>
  <c r="Z40" i="23"/>
  <c r="X40" i="24"/>
  <c r="Y40" i="24" s="1"/>
  <c r="U42" i="30"/>
  <c r="I37" i="29"/>
  <c r="U29" i="28"/>
  <c r="I24" i="27"/>
  <c r="V33" i="38"/>
  <c r="R33" i="37"/>
  <c r="T20" i="31"/>
  <c r="H15" i="30"/>
  <c r="U33" i="30"/>
  <c r="I28" i="29"/>
  <c r="T24" i="34"/>
  <c r="H19" i="33"/>
  <c r="U52" i="33"/>
  <c r="I47" i="32"/>
  <c r="V60" i="29"/>
  <c r="R60" i="28"/>
  <c r="V59" i="29"/>
  <c r="R59" i="28"/>
  <c r="I54" i="33"/>
  <c r="U59" i="34"/>
  <c r="X36" i="26"/>
  <c r="Y36" i="26" s="1"/>
  <c r="Z36" i="25"/>
  <c r="Z25" i="23"/>
  <c r="X25" i="24"/>
  <c r="Y25" i="24" s="1"/>
  <c r="X44" i="25"/>
  <c r="Y44" i="25" s="1"/>
  <c r="Z44" i="24"/>
  <c r="T43" i="32"/>
  <c r="H38" i="31"/>
  <c r="Z34" i="24"/>
  <c r="X34" i="25"/>
  <c r="Y34" i="25" s="1"/>
  <c r="T29" i="34"/>
  <c r="H24" i="33"/>
  <c r="U67" i="28"/>
  <c r="I62" i="27"/>
  <c r="I58" i="26"/>
  <c r="U63" i="27"/>
  <c r="H9" i="31"/>
  <c r="T14" i="32"/>
  <c r="T28" i="31"/>
  <c r="H23" i="30"/>
  <c r="X33" i="24"/>
  <c r="Y33" i="24" s="1"/>
  <c r="Z33" i="23"/>
  <c r="H14" i="33"/>
  <c r="T19" i="34"/>
  <c r="T49" i="30"/>
  <c r="H44" i="29"/>
  <c r="H10" i="28"/>
  <c r="T15" i="29"/>
  <c r="Z39" i="25"/>
  <c r="X39" i="26"/>
  <c r="Y39" i="26" s="1"/>
  <c r="T36" i="31"/>
  <c r="H31" i="30"/>
  <c r="U41" i="28"/>
  <c r="I36" i="27"/>
  <c r="X14" i="24"/>
  <c r="Y14" i="24" s="1"/>
  <c r="Z14" i="23"/>
  <c r="T41" i="33"/>
  <c r="H36" i="32"/>
  <c r="T12" i="30"/>
  <c r="H7" i="29"/>
  <c r="T25" i="30"/>
  <c r="H20" i="29"/>
  <c r="I61" i="32"/>
  <c r="U66" i="33"/>
  <c r="I34" i="32"/>
  <c r="U39" i="33"/>
  <c r="V36" i="29"/>
  <c r="R36" i="28"/>
  <c r="X42" i="29"/>
  <c r="Y42" i="29" s="1"/>
  <c r="Z42" i="28"/>
  <c r="T54" i="28"/>
  <c r="H49" i="27"/>
  <c r="V63" i="29"/>
  <c r="R63" i="28"/>
  <c r="V70" i="26"/>
  <c r="U72" i="26"/>
  <c r="Z72" i="26"/>
  <c r="H55" i="28"/>
  <c r="T60" i="29"/>
  <c r="AG27" i="14"/>
  <c r="Y74" i="14"/>
  <c r="X23" i="24"/>
  <c r="Y23" i="24" s="1"/>
  <c r="Z23" i="23"/>
  <c r="I52" i="31"/>
  <c r="U57" i="32"/>
  <c r="Z62" i="25"/>
  <c r="X62" i="26"/>
  <c r="Y62" i="26" s="1"/>
  <c r="AA77" i="36"/>
  <c r="AA79" i="36" s="1"/>
  <c r="X72" i="37"/>
  <c r="Y72" i="37" s="1"/>
  <c r="I44" i="31"/>
  <c r="U49" i="32"/>
  <c r="U18" i="33"/>
  <c r="I13" i="32"/>
  <c r="T26" i="27"/>
  <c r="H21" i="26"/>
  <c r="T22" i="32"/>
  <c r="H17" i="31"/>
  <c r="U74" i="27"/>
  <c r="V72" i="27"/>
  <c r="R68" i="27"/>
  <c r="U73" i="27"/>
  <c r="T42" i="34"/>
  <c r="H37" i="33"/>
  <c r="U43" i="29"/>
  <c r="I38" i="28"/>
  <c r="H47" i="28"/>
  <c r="T52" i="29"/>
  <c r="U27" i="29"/>
  <c r="I22" i="28"/>
  <c r="X30" i="24"/>
  <c r="Y30" i="24" s="1"/>
  <c r="Z30" i="23"/>
  <c r="U38" i="32"/>
  <c r="I33" i="31"/>
  <c r="H28" i="32"/>
  <c r="T33" i="33"/>
  <c r="X58" i="24"/>
  <c r="Y58" i="24" s="1"/>
  <c r="Z58" i="23"/>
  <c r="U31" i="29"/>
  <c r="I26" i="28"/>
  <c r="X60" i="25"/>
  <c r="Y60" i="25" s="1"/>
  <c r="Z60" i="24"/>
  <c r="X50" i="24"/>
  <c r="Y50" i="24" s="1"/>
  <c r="Z50" i="23"/>
  <c r="X63" i="24"/>
  <c r="Y63" i="24" s="1"/>
  <c r="Z63" i="23"/>
  <c r="X49" i="27"/>
  <c r="Y49" i="27" s="1"/>
  <c r="Z49" i="26"/>
  <c r="Z55" i="25"/>
  <c r="X55" i="26"/>
  <c r="Y55" i="26" s="1"/>
  <c r="X66" i="24"/>
  <c r="Y66" i="24" s="1"/>
  <c r="Z66" i="23"/>
  <c r="AA81" i="35"/>
  <c r="AF16" i="35" s="1"/>
  <c r="AA80" i="36"/>
  <c r="T64" i="27"/>
  <c r="H59" i="26"/>
  <c r="H18" i="27"/>
  <c r="T23" i="28"/>
  <c r="X35" i="25"/>
  <c r="Y35" i="25" s="1"/>
  <c r="Z35" i="24"/>
  <c r="AA88" i="13"/>
  <c r="AF14" i="13" s="1"/>
  <c r="AA87" i="14"/>
  <c r="H13" i="28"/>
  <c r="T18" i="29"/>
  <c r="X22" i="24"/>
  <c r="Y22" i="24" s="1"/>
  <c r="Z22" i="23"/>
  <c r="R28" i="49"/>
  <c r="V28" i="50"/>
  <c r="U26" i="38"/>
  <c r="I21" i="37"/>
  <c r="Y12" i="17"/>
  <c r="U64" i="56"/>
  <c r="I59" i="55"/>
  <c r="Z20" i="30"/>
  <c r="X20" i="31"/>
  <c r="Y20" i="31" s="1"/>
  <c r="X29" i="24"/>
  <c r="Y29" i="24" s="1"/>
  <c r="Z29" i="23"/>
  <c r="U35" i="29"/>
  <c r="I30" i="28"/>
  <c r="U17" i="30"/>
  <c r="I12" i="29"/>
  <c r="U61" i="29"/>
  <c r="I56" i="28"/>
  <c r="Y13" i="15"/>
  <c r="X68" i="15"/>
  <c r="X74" i="15" s="1"/>
  <c r="Z19" i="25"/>
  <c r="X19" i="26"/>
  <c r="Y19" i="26" s="1"/>
  <c r="X28" i="26"/>
  <c r="Y28" i="26" s="1"/>
  <c r="Z28" i="25"/>
  <c r="I23" i="28"/>
  <c r="U28" i="29"/>
  <c r="T53" i="28"/>
  <c r="H48" i="27"/>
  <c r="X52" i="25"/>
  <c r="Y52" i="25" s="1"/>
  <c r="Z52" i="24"/>
  <c r="T58" i="36"/>
  <c r="H53" i="35"/>
  <c r="V12" i="40"/>
  <c r="R12" i="39"/>
  <c r="X56" i="24"/>
  <c r="Y56" i="24" s="1"/>
  <c r="Z56" i="23"/>
  <c r="U60" i="46" l="1"/>
  <c r="I55" i="40"/>
  <c r="I15" i="55"/>
  <c r="U20" i="56"/>
  <c r="V43" i="47"/>
  <c r="R43" i="46"/>
  <c r="U36" i="55"/>
  <c r="I31" i="54"/>
  <c r="V32" i="46"/>
  <c r="R32" i="40"/>
  <c r="V15" i="49"/>
  <c r="R15" i="48"/>
  <c r="U16" i="46"/>
  <c r="I11" i="40"/>
  <c r="V34" i="51"/>
  <c r="R34" i="50"/>
  <c r="R26" i="51"/>
  <c r="V26" i="52"/>
  <c r="R21" i="40"/>
  <c r="V21" i="46"/>
  <c r="R37" i="40"/>
  <c r="V37" i="46"/>
  <c r="V27" i="48"/>
  <c r="R27" i="47"/>
  <c r="R18" i="47"/>
  <c r="V18" i="48"/>
  <c r="R16" i="40"/>
  <c r="V16" i="46"/>
  <c r="U32" i="46"/>
  <c r="I27" i="40"/>
  <c r="V64" i="46"/>
  <c r="R64" i="40"/>
  <c r="U44" i="57"/>
  <c r="I39" i="57" s="1"/>
  <c r="I39" i="56"/>
  <c r="V51" i="51"/>
  <c r="R51" i="50"/>
  <c r="R39" i="46"/>
  <c r="V39" i="47"/>
  <c r="V14" i="46"/>
  <c r="R14" i="40"/>
  <c r="U14" i="56"/>
  <c r="I9" i="55"/>
  <c r="R54" i="40"/>
  <c r="V54" i="46"/>
  <c r="I49" i="55"/>
  <c r="U54" i="56"/>
  <c r="U24" i="56"/>
  <c r="I19" i="55"/>
  <c r="X42" i="30"/>
  <c r="Y42" i="30" s="1"/>
  <c r="Z42" i="29"/>
  <c r="R68" i="28"/>
  <c r="U74" i="28"/>
  <c r="V72" i="28"/>
  <c r="U73" i="28"/>
  <c r="X29" i="25"/>
  <c r="Y29" i="25" s="1"/>
  <c r="Z29" i="24"/>
  <c r="H14" i="34"/>
  <c r="T19" i="35"/>
  <c r="I54" i="34"/>
  <c r="U59" i="35"/>
  <c r="I37" i="30"/>
  <c r="U42" i="31"/>
  <c r="V55" i="56"/>
  <c r="R55" i="55"/>
  <c r="T39" i="37"/>
  <c r="H34" i="36"/>
  <c r="V67" i="30"/>
  <c r="R67" i="29"/>
  <c r="Z67" i="29"/>
  <c r="X64" i="25"/>
  <c r="Y64" i="25" s="1"/>
  <c r="Z64" i="24"/>
  <c r="X26" i="31"/>
  <c r="Y26" i="31" s="1"/>
  <c r="Z26" i="30"/>
  <c r="R12" i="40"/>
  <c r="V12" i="46"/>
  <c r="I56" i="29"/>
  <c r="U61" i="30"/>
  <c r="R28" i="50"/>
  <c r="V28" i="51"/>
  <c r="U31" i="30"/>
  <c r="I26" i="29"/>
  <c r="Z30" i="24"/>
  <c r="X30" i="25"/>
  <c r="Y30" i="25" s="1"/>
  <c r="H37" i="34"/>
  <c r="T42" i="35"/>
  <c r="T26" i="28"/>
  <c r="H21" i="27"/>
  <c r="X72" i="38"/>
  <c r="Y72" i="38" s="1"/>
  <c r="AA77" i="37"/>
  <c r="AA79" i="37" s="1"/>
  <c r="V78" i="14"/>
  <c r="V79" i="14" s="1"/>
  <c r="Y70" i="14"/>
  <c r="AA84" i="14"/>
  <c r="AA86" i="14" s="1"/>
  <c r="V36" i="30"/>
  <c r="R36" i="29"/>
  <c r="T12" i="31"/>
  <c r="H7" i="30"/>
  <c r="T36" i="32"/>
  <c r="H31" i="31"/>
  <c r="H38" i="32"/>
  <c r="T43" i="33"/>
  <c r="V60" i="30"/>
  <c r="R60" i="29"/>
  <c r="H15" i="31"/>
  <c r="T20" i="32"/>
  <c r="X40" i="25"/>
  <c r="Y40" i="25" s="1"/>
  <c r="Z40" i="24"/>
  <c r="T51" i="29"/>
  <c r="H46" i="28"/>
  <c r="U21" i="29"/>
  <c r="I16" i="28"/>
  <c r="X61" i="26"/>
  <c r="Y61" i="26" s="1"/>
  <c r="Z61" i="25"/>
  <c r="U25" i="32"/>
  <c r="I20" i="31"/>
  <c r="V29" i="30"/>
  <c r="R29" i="29"/>
  <c r="V68" i="29"/>
  <c r="V22" i="54"/>
  <c r="R22" i="53"/>
  <c r="T16" i="27"/>
  <c r="H11" i="26"/>
  <c r="T44" i="30"/>
  <c r="H39" i="29"/>
  <c r="Z57" i="27"/>
  <c r="X57" i="28"/>
  <c r="Y57" i="28" s="1"/>
  <c r="X16" i="28"/>
  <c r="Y16" i="28" s="1"/>
  <c r="Z16" i="27"/>
  <c r="T37" i="28"/>
  <c r="H32" i="27"/>
  <c r="I48" i="29"/>
  <c r="U53" i="30"/>
  <c r="T64" i="28"/>
  <c r="H59" i="27"/>
  <c r="V59" i="30"/>
  <c r="R59" i="29"/>
  <c r="X18" i="27"/>
  <c r="Y18" i="27" s="1"/>
  <c r="Z18" i="26"/>
  <c r="I23" i="29"/>
  <c r="U28" i="30"/>
  <c r="X49" i="28"/>
  <c r="Y49" i="28" s="1"/>
  <c r="Z49" i="27"/>
  <c r="Z23" i="24"/>
  <c r="X23" i="25"/>
  <c r="Y23" i="25" s="1"/>
  <c r="U23" i="34"/>
  <c r="I18" i="33"/>
  <c r="X35" i="26"/>
  <c r="Y35" i="26" s="1"/>
  <c r="Z35" i="25"/>
  <c r="X63" i="25"/>
  <c r="Y63" i="25" s="1"/>
  <c r="Z63" i="24"/>
  <c r="AA80" i="37"/>
  <c r="AA81" i="36"/>
  <c r="AF16" i="36" s="1"/>
  <c r="V63" i="30"/>
  <c r="R63" i="29"/>
  <c r="U39" i="34"/>
  <c r="I34" i="33"/>
  <c r="Z39" i="26"/>
  <c r="X39" i="27"/>
  <c r="Y39" i="27" s="1"/>
  <c r="Z27" i="25"/>
  <c r="X27" i="26"/>
  <c r="Y27" i="26" s="1"/>
  <c r="X54" i="27"/>
  <c r="Y54" i="27" s="1"/>
  <c r="Z54" i="26"/>
  <c r="T38" i="33"/>
  <c r="H33" i="32"/>
  <c r="U65" i="28"/>
  <c r="I60" i="27"/>
  <c r="X43" i="27"/>
  <c r="Y43" i="27" s="1"/>
  <c r="Z43" i="26"/>
  <c r="Z15" i="24"/>
  <c r="X15" i="25"/>
  <c r="Y15" i="25" s="1"/>
  <c r="I45" i="54"/>
  <c r="U50" i="55"/>
  <c r="U55" i="28"/>
  <c r="I50" i="27"/>
  <c r="T14" i="33"/>
  <c r="H9" i="32"/>
  <c r="U29" i="29"/>
  <c r="I24" i="28"/>
  <c r="X17" i="25"/>
  <c r="Y17" i="25" s="1"/>
  <c r="Z17" i="24"/>
  <c r="U17" i="31"/>
  <c r="I12" i="30"/>
  <c r="X62" i="27"/>
  <c r="Y62" i="27" s="1"/>
  <c r="Z62" i="26"/>
  <c r="U67" i="29"/>
  <c r="I62" i="28"/>
  <c r="U52" i="34"/>
  <c r="I47" i="33"/>
  <c r="Z51" i="26"/>
  <c r="X51" i="27"/>
  <c r="Y51" i="27" s="1"/>
  <c r="T40" i="27"/>
  <c r="H35" i="26"/>
  <c r="T56" i="28"/>
  <c r="H51" i="27"/>
  <c r="Z53" i="25"/>
  <c r="X53" i="26"/>
  <c r="Y53" i="26" s="1"/>
  <c r="U15" i="30"/>
  <c r="I10" i="29"/>
  <c r="T35" i="33"/>
  <c r="H30" i="32"/>
  <c r="T21" i="28"/>
  <c r="H16" i="27"/>
  <c r="I44" i="32"/>
  <c r="U49" i="33"/>
  <c r="U30" i="57"/>
  <c r="I25" i="57" s="1"/>
  <c r="I25" i="56"/>
  <c r="H48" i="28"/>
  <c r="T53" i="29"/>
  <c r="Z20" i="31"/>
  <c r="X20" i="32"/>
  <c r="Y20" i="32" s="1"/>
  <c r="H53" i="36"/>
  <c r="T58" i="37"/>
  <c r="U64" i="57"/>
  <c r="I59" i="57" s="1"/>
  <c r="I59" i="56"/>
  <c r="H18" i="28"/>
  <c r="T23" i="29"/>
  <c r="X58" i="25"/>
  <c r="Y58" i="25" s="1"/>
  <c r="Z58" i="24"/>
  <c r="I22" i="29"/>
  <c r="U27" i="30"/>
  <c r="H55" i="29"/>
  <c r="T60" i="30"/>
  <c r="T41" i="34"/>
  <c r="H36" i="33"/>
  <c r="X33" i="25"/>
  <c r="Y33" i="25" s="1"/>
  <c r="Z33" i="24"/>
  <c r="Z44" i="25"/>
  <c r="X44" i="26"/>
  <c r="Y44" i="26" s="1"/>
  <c r="X37" i="25"/>
  <c r="Y37" i="25" s="1"/>
  <c r="Z37" i="24"/>
  <c r="X19" i="27"/>
  <c r="Y19" i="27" s="1"/>
  <c r="Z19" i="26"/>
  <c r="X22" i="25"/>
  <c r="Y22" i="25" s="1"/>
  <c r="Z22" i="24"/>
  <c r="X66" i="25"/>
  <c r="Y66" i="25" s="1"/>
  <c r="Z66" i="24"/>
  <c r="X50" i="25"/>
  <c r="Y50" i="25" s="1"/>
  <c r="Z50" i="24"/>
  <c r="T33" i="34"/>
  <c r="H28" i="33"/>
  <c r="T52" i="30"/>
  <c r="H47" i="29"/>
  <c r="V70" i="27"/>
  <c r="U72" i="27"/>
  <c r="Z72" i="27"/>
  <c r="T54" i="29"/>
  <c r="H49" i="28"/>
  <c r="I61" i="33"/>
  <c r="U66" i="34"/>
  <c r="H10" i="29"/>
  <c r="T15" i="30"/>
  <c r="X25" i="25"/>
  <c r="Y25" i="25" s="1"/>
  <c r="Z25" i="24"/>
  <c r="V33" i="39"/>
  <c r="R33" i="38"/>
  <c r="V17" i="49"/>
  <c r="R17" i="48"/>
  <c r="U34" i="57"/>
  <c r="I29" i="57" s="1"/>
  <c r="I29" i="56"/>
  <c r="U58" i="56"/>
  <c r="I53" i="55"/>
  <c r="H52" i="36"/>
  <c r="T57" i="37"/>
  <c r="T34" i="28"/>
  <c r="H29" i="27"/>
  <c r="Z31" i="27"/>
  <c r="X31" i="28"/>
  <c r="Y31" i="28" s="1"/>
  <c r="U63" i="28"/>
  <c r="I58" i="27"/>
  <c r="X28" i="27"/>
  <c r="Y28" i="27" s="1"/>
  <c r="Z28" i="26"/>
  <c r="X56" i="25"/>
  <c r="Y56" i="25" s="1"/>
  <c r="Z56" i="24"/>
  <c r="Z52" i="25"/>
  <c r="X52" i="26"/>
  <c r="Y52" i="26" s="1"/>
  <c r="I30" i="29"/>
  <c r="U35" i="30"/>
  <c r="X12" i="18"/>
  <c r="Z12" i="17"/>
  <c r="H13" i="29"/>
  <c r="T18" i="30"/>
  <c r="Z55" i="26"/>
  <c r="X55" i="27"/>
  <c r="Y55" i="27" s="1"/>
  <c r="I13" i="33"/>
  <c r="U18" i="34"/>
  <c r="I52" i="32"/>
  <c r="U57" i="33"/>
  <c r="Z14" i="24"/>
  <c r="X14" i="25"/>
  <c r="Y14" i="25" s="1"/>
  <c r="H23" i="31"/>
  <c r="T28" i="32"/>
  <c r="T29" i="35"/>
  <c r="H24" i="34"/>
  <c r="T24" i="35"/>
  <c r="H19" i="34"/>
  <c r="V73" i="37"/>
  <c r="R73" i="36"/>
  <c r="Z73" i="36"/>
  <c r="T50" i="30"/>
  <c r="H45" i="29"/>
  <c r="I46" i="28"/>
  <c r="U51" i="29"/>
  <c r="V42" i="37"/>
  <c r="R42" i="36"/>
  <c r="U19" i="29"/>
  <c r="I14" i="28"/>
  <c r="T59" i="36"/>
  <c r="H54" i="35"/>
  <c r="T17" i="31"/>
  <c r="H12" i="30"/>
  <c r="U37" i="29"/>
  <c r="I32" i="28"/>
  <c r="X41" i="26"/>
  <c r="Y41" i="26" s="1"/>
  <c r="Z41" i="25"/>
  <c r="X21" i="27"/>
  <c r="Y21" i="27" s="1"/>
  <c r="Z21" i="26"/>
  <c r="V58" i="30"/>
  <c r="R58" i="29"/>
  <c r="X38" i="25"/>
  <c r="Y38" i="25" s="1"/>
  <c r="Z38" i="24"/>
  <c r="X34" i="26"/>
  <c r="Y34" i="26" s="1"/>
  <c r="Z34" i="25"/>
  <c r="H26" i="29"/>
  <c r="T31" i="30"/>
  <c r="X13" i="16"/>
  <c r="Z13" i="15"/>
  <c r="Z68" i="15" s="1"/>
  <c r="Z74" i="15" s="1"/>
  <c r="Z70" i="15" s="1"/>
  <c r="Y68" i="15"/>
  <c r="I21" i="38"/>
  <c r="U26" i="39"/>
  <c r="X60" i="26"/>
  <c r="Y60" i="26" s="1"/>
  <c r="Z60" i="25"/>
  <c r="U38" i="33"/>
  <c r="I33" i="32"/>
  <c r="I38" i="29"/>
  <c r="U43" i="30"/>
  <c r="H17" i="32"/>
  <c r="T22" i="33"/>
  <c r="T25" i="31"/>
  <c r="H20" i="30"/>
  <c r="I36" i="28"/>
  <c r="U41" i="29"/>
  <c r="H44" i="30"/>
  <c r="T49" i="31"/>
  <c r="X36" i="27"/>
  <c r="Y36" i="27" s="1"/>
  <c r="Z36" i="26"/>
  <c r="U33" i="31"/>
  <c r="I28" i="30"/>
  <c r="X32" i="30"/>
  <c r="Y32" i="30" s="1"/>
  <c r="Z32" i="29"/>
  <c r="X59" i="26"/>
  <c r="Y59" i="26" s="1"/>
  <c r="Z59" i="25"/>
  <c r="T27" i="26"/>
  <c r="H22" i="25"/>
  <c r="V66" i="30"/>
  <c r="R66" i="29"/>
  <c r="H56" i="37"/>
  <c r="T61" i="38"/>
  <c r="T32" i="26"/>
  <c r="H27" i="25"/>
  <c r="V56" i="30"/>
  <c r="R56" i="29"/>
  <c r="V65" i="30"/>
  <c r="R65" i="29"/>
  <c r="Z65" i="29"/>
  <c r="X24" i="28"/>
  <c r="Y24" i="28" s="1"/>
  <c r="Z24" i="27"/>
  <c r="V49" i="30"/>
  <c r="R49" i="29"/>
  <c r="T30" i="27"/>
  <c r="H25" i="26"/>
  <c r="T13" i="28"/>
  <c r="H8" i="27"/>
  <c r="I19" i="56" l="1"/>
  <c r="U24" i="57"/>
  <c r="I19" i="57" s="1"/>
  <c r="V14" i="47"/>
  <c r="R14" i="46"/>
  <c r="R64" i="46"/>
  <c r="V64" i="47"/>
  <c r="V27" i="49"/>
  <c r="R27" i="48"/>
  <c r="V34" i="52"/>
  <c r="R34" i="51"/>
  <c r="U36" i="56"/>
  <c r="I31" i="55"/>
  <c r="U54" i="57"/>
  <c r="I49" i="57" s="1"/>
  <c r="I49" i="56"/>
  <c r="R39" i="47"/>
  <c r="V39" i="48"/>
  <c r="R37" i="46"/>
  <c r="V37" i="47"/>
  <c r="U32" i="47"/>
  <c r="I27" i="46"/>
  <c r="I11" i="46"/>
  <c r="U16" i="47"/>
  <c r="V43" i="48"/>
  <c r="R43" i="47"/>
  <c r="V54" i="47"/>
  <c r="R54" i="46"/>
  <c r="V16" i="47"/>
  <c r="R16" i="46"/>
  <c r="V21" i="47"/>
  <c r="R21" i="46"/>
  <c r="I15" i="56"/>
  <c r="U20" i="57"/>
  <c r="I15" i="57" s="1"/>
  <c r="R51" i="51"/>
  <c r="V51" i="52"/>
  <c r="V15" i="50"/>
  <c r="R15" i="49"/>
  <c r="V18" i="49"/>
  <c r="R18" i="48"/>
  <c r="R26" i="52"/>
  <c r="V26" i="53"/>
  <c r="U14" i="57"/>
  <c r="I9" i="57" s="1"/>
  <c r="I9" i="56"/>
  <c r="R32" i="46"/>
  <c r="V32" i="47"/>
  <c r="U60" i="47"/>
  <c r="I55" i="46"/>
  <c r="U51" i="30"/>
  <c r="I46" i="29"/>
  <c r="H10" i="30"/>
  <c r="T15" i="31"/>
  <c r="U55" i="29"/>
  <c r="I50" i="28"/>
  <c r="T37" i="29"/>
  <c r="H32" i="28"/>
  <c r="X56" i="26"/>
  <c r="Y56" i="26" s="1"/>
  <c r="Z56" i="25"/>
  <c r="Z53" i="26"/>
  <c r="X53" i="27"/>
  <c r="Y53" i="27" s="1"/>
  <c r="U50" i="56"/>
  <c r="I45" i="55"/>
  <c r="V66" i="31"/>
  <c r="R66" i="30"/>
  <c r="Z21" i="27"/>
  <c r="X21" i="28"/>
  <c r="Y21" i="28" s="1"/>
  <c r="T57" i="38"/>
  <c r="H52" i="37"/>
  <c r="H31" i="32"/>
  <c r="T36" i="33"/>
  <c r="X29" i="26"/>
  <c r="Y29" i="26" s="1"/>
  <c r="Z29" i="25"/>
  <c r="V49" i="31"/>
  <c r="R49" i="30"/>
  <c r="V56" i="31"/>
  <c r="R56" i="30"/>
  <c r="T22" i="34"/>
  <c r="H17" i="33"/>
  <c r="U26" i="40"/>
  <c r="I21" i="39"/>
  <c r="X34" i="27"/>
  <c r="Y34" i="27" s="1"/>
  <c r="Z34" i="26"/>
  <c r="T50" i="31"/>
  <c r="H45" i="30"/>
  <c r="T29" i="36"/>
  <c r="H24" i="35"/>
  <c r="I13" i="34"/>
  <c r="U18" i="35"/>
  <c r="Y12" i="18"/>
  <c r="X28" i="28"/>
  <c r="Y28" i="28" s="1"/>
  <c r="Z28" i="27"/>
  <c r="Z20" i="32"/>
  <c r="X20" i="33"/>
  <c r="Y20" i="33" s="1"/>
  <c r="X15" i="26"/>
  <c r="Y15" i="26" s="1"/>
  <c r="Z15" i="25"/>
  <c r="X49" i="29"/>
  <c r="Y49" i="29" s="1"/>
  <c r="Z49" i="28"/>
  <c r="Z57" i="28"/>
  <c r="X57" i="29"/>
  <c r="Y57" i="29" s="1"/>
  <c r="V22" i="55"/>
  <c r="R22" i="54"/>
  <c r="Z61" i="26"/>
  <c r="X61" i="27"/>
  <c r="Y61" i="27" s="1"/>
  <c r="AA81" i="37"/>
  <c r="AF16" i="37" s="1"/>
  <c r="AA80" i="38"/>
  <c r="I37" i="31"/>
  <c r="U42" i="32"/>
  <c r="Z32" i="30"/>
  <c r="X32" i="31"/>
  <c r="Y32" i="31" s="1"/>
  <c r="V58" i="31"/>
  <c r="R58" i="30"/>
  <c r="U17" i="32"/>
  <c r="I12" i="31"/>
  <c r="U27" i="31"/>
  <c r="I22" i="30"/>
  <c r="T25" i="32"/>
  <c r="H20" i="31"/>
  <c r="T52" i="31"/>
  <c r="H47" i="30"/>
  <c r="I47" i="34"/>
  <c r="U52" i="35"/>
  <c r="X16" i="29"/>
  <c r="Y16" i="29" s="1"/>
  <c r="Z16" i="28"/>
  <c r="R55" i="56"/>
  <c r="V55" i="57"/>
  <c r="T27" i="27"/>
  <c r="H22" i="26"/>
  <c r="X36" i="28"/>
  <c r="Y36" i="28" s="1"/>
  <c r="Z36" i="27"/>
  <c r="Z41" i="26"/>
  <c r="X41" i="27"/>
  <c r="Y41" i="27" s="1"/>
  <c r="I14" i="29"/>
  <c r="U19" i="30"/>
  <c r="T28" i="33"/>
  <c r="H23" i="32"/>
  <c r="U35" i="31"/>
  <c r="I30" i="30"/>
  <c r="T33" i="35"/>
  <c r="H28" i="34"/>
  <c r="Z19" i="27"/>
  <c r="X19" i="28"/>
  <c r="Y19" i="28" s="1"/>
  <c r="X33" i="26"/>
  <c r="Y33" i="26" s="1"/>
  <c r="Z33" i="25"/>
  <c r="X58" i="26"/>
  <c r="Y58" i="26" s="1"/>
  <c r="Z58" i="25"/>
  <c r="T21" i="29"/>
  <c r="H16" i="28"/>
  <c r="T56" i="29"/>
  <c r="H51" i="28"/>
  <c r="I62" i="29"/>
  <c r="U67" i="30"/>
  <c r="U29" i="30"/>
  <c r="I24" i="29"/>
  <c r="X54" i="28"/>
  <c r="Y54" i="28" s="1"/>
  <c r="Z54" i="27"/>
  <c r="U28" i="31"/>
  <c r="I23" i="30"/>
  <c r="T64" i="29"/>
  <c r="H59" i="28"/>
  <c r="U74" i="29"/>
  <c r="V72" i="29"/>
  <c r="R68" i="29"/>
  <c r="U73" i="29"/>
  <c r="H7" i="31"/>
  <c r="T12" i="32"/>
  <c r="V12" i="47"/>
  <c r="R12" i="46"/>
  <c r="V70" i="28"/>
  <c r="U72" i="28"/>
  <c r="Z72" i="28"/>
  <c r="V65" i="31"/>
  <c r="R65" i="30"/>
  <c r="Z65" i="30"/>
  <c r="T17" i="32"/>
  <c r="H12" i="31"/>
  <c r="X66" i="26"/>
  <c r="Y66" i="26" s="1"/>
  <c r="Z66" i="25"/>
  <c r="T42" i="36"/>
  <c r="H37" i="35"/>
  <c r="T58" i="38"/>
  <c r="H53" i="37"/>
  <c r="Z40" i="25"/>
  <c r="X40" i="26"/>
  <c r="Y40" i="26" s="1"/>
  <c r="X60" i="27"/>
  <c r="Y60" i="27" s="1"/>
  <c r="Z60" i="26"/>
  <c r="X22" i="26"/>
  <c r="Y22" i="26" s="1"/>
  <c r="Z22" i="25"/>
  <c r="H33" i="33"/>
  <c r="T38" i="34"/>
  <c r="X64" i="26"/>
  <c r="Y64" i="26" s="1"/>
  <c r="Z64" i="25"/>
  <c r="Z24" i="28"/>
  <c r="X24" i="29"/>
  <c r="Y24" i="29" s="1"/>
  <c r="T32" i="27"/>
  <c r="H27" i="26"/>
  <c r="T49" i="32"/>
  <c r="H44" i="31"/>
  <c r="U43" i="31"/>
  <c r="I38" i="30"/>
  <c r="AG27" i="15"/>
  <c r="Y74" i="15"/>
  <c r="Z38" i="25"/>
  <c r="X38" i="26"/>
  <c r="Y38" i="26" s="1"/>
  <c r="Z55" i="27"/>
  <c r="X55" i="28"/>
  <c r="Y55" i="28" s="1"/>
  <c r="U63" i="29"/>
  <c r="I58" i="28"/>
  <c r="I53" i="56"/>
  <c r="U58" i="57"/>
  <c r="I53" i="57" s="1"/>
  <c r="V33" i="40"/>
  <c r="R33" i="39"/>
  <c r="T54" i="30"/>
  <c r="H49" i="29"/>
  <c r="H18" i="29"/>
  <c r="T23" i="30"/>
  <c r="H48" i="29"/>
  <c r="T53" i="30"/>
  <c r="Z27" i="26"/>
  <c r="X27" i="27"/>
  <c r="Y27" i="27" s="1"/>
  <c r="V63" i="31"/>
  <c r="R63" i="30"/>
  <c r="Z35" i="26"/>
  <c r="X35" i="27"/>
  <c r="Y35" i="27" s="1"/>
  <c r="U53" i="31"/>
  <c r="I48" i="30"/>
  <c r="U21" i="30"/>
  <c r="I16" i="29"/>
  <c r="X72" i="39"/>
  <c r="Y72" i="39" s="1"/>
  <c r="AA77" i="38"/>
  <c r="AA79" i="38" s="1"/>
  <c r="I26" i="30"/>
  <c r="U31" i="31"/>
  <c r="V67" i="31"/>
  <c r="R67" i="30"/>
  <c r="Z67" i="30"/>
  <c r="U59" i="36"/>
  <c r="I54" i="35"/>
  <c r="T30" i="28"/>
  <c r="H25" i="27"/>
  <c r="U38" i="34"/>
  <c r="I33" i="33"/>
  <c r="I10" i="30"/>
  <c r="U15" i="31"/>
  <c r="X23" i="26"/>
  <c r="Y23" i="26" s="1"/>
  <c r="Z23" i="25"/>
  <c r="AA87" i="15"/>
  <c r="AA88" i="14"/>
  <c r="AF14" i="14" s="1"/>
  <c r="T24" i="36"/>
  <c r="H19" i="35"/>
  <c r="H29" i="28"/>
  <c r="T34" i="29"/>
  <c r="Z44" i="26"/>
  <c r="X44" i="27"/>
  <c r="Y44" i="27" s="1"/>
  <c r="X63" i="26"/>
  <c r="Y63" i="26" s="1"/>
  <c r="Z63" i="25"/>
  <c r="U25" i="33"/>
  <c r="I20" i="32"/>
  <c r="U61" i="31"/>
  <c r="I56" i="30"/>
  <c r="U33" i="32"/>
  <c r="I28" i="31"/>
  <c r="H54" i="36"/>
  <c r="T59" i="37"/>
  <c r="V17" i="50"/>
  <c r="R17" i="49"/>
  <c r="I34" i="34"/>
  <c r="U39" i="35"/>
  <c r="V59" i="31"/>
  <c r="R59" i="30"/>
  <c r="T20" i="33"/>
  <c r="H15" i="32"/>
  <c r="T13" i="29"/>
  <c r="H8" i="28"/>
  <c r="T61" i="39"/>
  <c r="H56" i="39" s="1"/>
  <c r="H56" i="38"/>
  <c r="U37" i="30"/>
  <c r="I32" i="29"/>
  <c r="X14" i="26"/>
  <c r="Y14" i="26" s="1"/>
  <c r="Z14" i="25"/>
  <c r="Z52" i="26"/>
  <c r="X52" i="27"/>
  <c r="Y52" i="27" s="1"/>
  <c r="Z31" i="28"/>
  <c r="X31" i="29"/>
  <c r="Y31" i="29" s="1"/>
  <c r="X50" i="26"/>
  <c r="Y50" i="26" s="1"/>
  <c r="Z50" i="25"/>
  <c r="Z37" i="25"/>
  <c r="X37" i="26"/>
  <c r="Y37" i="26" s="1"/>
  <c r="H36" i="34"/>
  <c r="T41" i="35"/>
  <c r="T35" i="34"/>
  <c r="H30" i="33"/>
  <c r="T40" i="28"/>
  <c r="H35" i="27"/>
  <c r="Z62" i="27"/>
  <c r="X62" i="28"/>
  <c r="Y62" i="28" s="1"/>
  <c r="T14" i="34"/>
  <c r="H9" i="33"/>
  <c r="X43" i="28"/>
  <c r="Y43" i="28" s="1"/>
  <c r="Z43" i="27"/>
  <c r="H39" i="30"/>
  <c r="T44" i="31"/>
  <c r="V60" i="31"/>
  <c r="R60" i="30"/>
  <c r="H26" i="30"/>
  <c r="T31" i="31"/>
  <c r="U65" i="29"/>
  <c r="I60" i="28"/>
  <c r="U57" i="34"/>
  <c r="I52" i="33"/>
  <c r="U49" i="34"/>
  <c r="I44" i="33"/>
  <c r="U66" i="35"/>
  <c r="I61" i="34"/>
  <c r="X17" i="26"/>
  <c r="Y17" i="26" s="1"/>
  <c r="Z17" i="25"/>
  <c r="Z30" i="25"/>
  <c r="X30" i="26"/>
  <c r="Y30" i="26" s="1"/>
  <c r="X59" i="27"/>
  <c r="Y59" i="27" s="1"/>
  <c r="Z59" i="26"/>
  <c r="U41" i="30"/>
  <c r="I36" i="29"/>
  <c r="Y13" i="16"/>
  <c r="X68" i="16"/>
  <c r="X74" i="16" s="1"/>
  <c r="V42" i="38"/>
  <c r="R42" i="37"/>
  <c r="V73" i="38"/>
  <c r="R73" i="37"/>
  <c r="Z73" i="37"/>
  <c r="T18" i="31"/>
  <c r="H13" i="30"/>
  <c r="Z25" i="25"/>
  <c r="X25" i="26"/>
  <c r="Y25" i="26" s="1"/>
  <c r="T60" i="31"/>
  <c r="H55" i="30"/>
  <c r="Z51" i="27"/>
  <c r="X51" i="28"/>
  <c r="Y51" i="28" s="1"/>
  <c r="Z39" i="27"/>
  <c r="X39" i="28"/>
  <c r="Y39" i="28" s="1"/>
  <c r="I18" i="34"/>
  <c r="U23" i="35"/>
  <c r="X18" i="28"/>
  <c r="Y18" i="28" s="1"/>
  <c r="Z18" i="27"/>
  <c r="V29" i="31"/>
  <c r="R29" i="30"/>
  <c r="V68" i="30"/>
  <c r="T51" i="30"/>
  <c r="H46" i="29"/>
  <c r="T43" i="34"/>
  <c r="H38" i="33"/>
  <c r="V36" i="31"/>
  <c r="R36" i="30"/>
  <c r="T26" i="29"/>
  <c r="H21" i="28"/>
  <c r="R28" i="51"/>
  <c r="V28" i="52"/>
  <c r="T39" i="38"/>
  <c r="H34" i="37"/>
  <c r="T19" i="36"/>
  <c r="H14" i="35"/>
  <c r="T16" i="28"/>
  <c r="H11" i="27"/>
  <c r="Z26" i="31"/>
  <c r="X26" i="32"/>
  <c r="Y26" i="32" s="1"/>
  <c r="X42" i="31"/>
  <c r="Y42" i="31" s="1"/>
  <c r="Z42" i="30"/>
  <c r="V26" i="54" l="1"/>
  <c r="R26" i="53"/>
  <c r="V39" i="49"/>
  <c r="R39" i="48"/>
  <c r="V43" i="49"/>
  <c r="R43" i="48"/>
  <c r="R27" i="49"/>
  <c r="V27" i="50"/>
  <c r="U60" i="48"/>
  <c r="I55" i="47"/>
  <c r="R18" i="49"/>
  <c r="V18" i="50"/>
  <c r="V21" i="48"/>
  <c r="R21" i="47"/>
  <c r="I11" i="47"/>
  <c r="U16" i="48"/>
  <c r="V32" i="48"/>
  <c r="R32" i="47"/>
  <c r="V15" i="51"/>
  <c r="R15" i="50"/>
  <c r="V16" i="48"/>
  <c r="R16" i="47"/>
  <c r="I27" i="47"/>
  <c r="U32" i="48"/>
  <c r="I31" i="56"/>
  <c r="U36" i="57"/>
  <c r="I31" i="57" s="1"/>
  <c r="V14" i="48"/>
  <c r="R14" i="47"/>
  <c r="V64" i="48"/>
  <c r="R64" i="47"/>
  <c r="R51" i="52"/>
  <c r="V51" i="53"/>
  <c r="V37" i="48"/>
  <c r="R37" i="47"/>
  <c r="V54" i="48"/>
  <c r="R54" i="47"/>
  <c r="V34" i="53"/>
  <c r="R34" i="52"/>
  <c r="U65" i="30"/>
  <c r="I60" i="29"/>
  <c r="X66" i="27"/>
  <c r="Y66" i="27" s="1"/>
  <c r="Z66" i="26"/>
  <c r="T43" i="35"/>
  <c r="H38" i="34"/>
  <c r="I10" i="31"/>
  <c r="U15" i="32"/>
  <c r="T26" i="30"/>
  <c r="H21" i="29"/>
  <c r="U74" i="30"/>
  <c r="R68" i="30"/>
  <c r="V72" i="30"/>
  <c r="U73" i="30"/>
  <c r="X39" i="29"/>
  <c r="Y39" i="29" s="1"/>
  <c r="Z39" i="28"/>
  <c r="V42" i="39"/>
  <c r="R42" i="38"/>
  <c r="I52" i="34"/>
  <c r="U57" i="35"/>
  <c r="H39" i="31"/>
  <c r="T44" i="32"/>
  <c r="X14" i="27"/>
  <c r="Y14" i="27" s="1"/>
  <c r="Z14" i="26"/>
  <c r="T20" i="34"/>
  <c r="H15" i="33"/>
  <c r="V17" i="51"/>
  <c r="R17" i="50"/>
  <c r="I20" i="33"/>
  <c r="U25" i="34"/>
  <c r="T24" i="37"/>
  <c r="H19" i="36"/>
  <c r="I33" i="34"/>
  <c r="U38" i="35"/>
  <c r="I26" i="31"/>
  <c r="U31" i="32"/>
  <c r="U53" i="32"/>
  <c r="I48" i="31"/>
  <c r="T53" i="31"/>
  <c r="H48" i="30"/>
  <c r="V33" i="46"/>
  <c r="R33" i="40"/>
  <c r="T32" i="28"/>
  <c r="H27" i="27"/>
  <c r="Z22" i="26"/>
  <c r="X22" i="27"/>
  <c r="Y22" i="27" s="1"/>
  <c r="T42" i="37"/>
  <c r="H37" i="36"/>
  <c r="U28" i="32"/>
  <c r="I23" i="31"/>
  <c r="H51" i="29"/>
  <c r="T56" i="30"/>
  <c r="R55" i="57"/>
  <c r="U17" i="33"/>
  <c r="I12" i="32"/>
  <c r="X28" i="29"/>
  <c r="Y28" i="29" s="1"/>
  <c r="Z28" i="28"/>
  <c r="H45" i="31"/>
  <c r="T50" i="32"/>
  <c r="X13" i="17"/>
  <c r="Z13" i="16"/>
  <c r="Z68" i="16" s="1"/>
  <c r="Z74" i="16" s="1"/>
  <c r="Z70" i="16" s="1"/>
  <c r="Y68" i="16"/>
  <c r="AA81" i="38"/>
  <c r="AF16" i="38" s="1"/>
  <c r="AA80" i="39"/>
  <c r="V28" i="53"/>
  <c r="R28" i="52"/>
  <c r="V73" i="39"/>
  <c r="R73" i="38"/>
  <c r="Z73" i="38"/>
  <c r="Z52" i="27"/>
  <c r="X52" i="28"/>
  <c r="Y52" i="28" s="1"/>
  <c r="H14" i="36"/>
  <c r="T19" i="37"/>
  <c r="T18" i="32"/>
  <c r="H13" i="31"/>
  <c r="T40" i="29"/>
  <c r="H35" i="28"/>
  <c r="Z50" i="26"/>
  <c r="X50" i="27"/>
  <c r="Y50" i="27" s="1"/>
  <c r="T59" i="38"/>
  <c r="H54" i="37"/>
  <c r="X35" i="28"/>
  <c r="Y35" i="28" s="1"/>
  <c r="Z35" i="27"/>
  <c r="V78" i="15"/>
  <c r="V79" i="15" s="1"/>
  <c r="Y70" i="15"/>
  <c r="AA84" i="15"/>
  <c r="AA86" i="15" s="1"/>
  <c r="Z24" i="29"/>
  <c r="X24" i="30"/>
  <c r="Y24" i="30" s="1"/>
  <c r="Z41" i="27"/>
  <c r="X41" i="28"/>
  <c r="Y41" i="28" s="1"/>
  <c r="T52" i="32"/>
  <c r="H47" i="31"/>
  <c r="V56" i="32"/>
  <c r="R56" i="31"/>
  <c r="I45" i="56"/>
  <c r="U50" i="57"/>
  <c r="I45" i="57" s="1"/>
  <c r="U55" i="30"/>
  <c r="I50" i="29"/>
  <c r="X63" i="27"/>
  <c r="Y63" i="27" s="1"/>
  <c r="Z63" i="26"/>
  <c r="T21" i="30"/>
  <c r="H16" i="29"/>
  <c r="Z61" i="27"/>
  <c r="X61" i="28"/>
  <c r="Y61" i="28" s="1"/>
  <c r="X49" i="30"/>
  <c r="Y49" i="30" s="1"/>
  <c r="Z49" i="29"/>
  <c r="X12" i="19"/>
  <c r="Z12" i="18"/>
  <c r="Z34" i="27"/>
  <c r="X34" i="28"/>
  <c r="Y34" i="28" s="1"/>
  <c r="T57" i="39"/>
  <c r="H52" i="39" s="1"/>
  <c r="H52" i="38"/>
  <c r="X42" i="32"/>
  <c r="Y42" i="32" s="1"/>
  <c r="Z42" i="31"/>
  <c r="H34" i="38"/>
  <c r="T39" i="39"/>
  <c r="H34" i="39" s="1"/>
  <c r="V36" i="32"/>
  <c r="R36" i="31"/>
  <c r="V29" i="32"/>
  <c r="R29" i="31"/>
  <c r="V68" i="31"/>
  <c r="T31" i="32"/>
  <c r="H26" i="31"/>
  <c r="Z43" i="28"/>
  <c r="X43" i="29"/>
  <c r="Y43" i="29" s="1"/>
  <c r="H30" i="34"/>
  <c r="T35" i="35"/>
  <c r="X31" i="30"/>
  <c r="Y31" i="30" s="1"/>
  <c r="Z31" i="29"/>
  <c r="V59" i="32"/>
  <c r="R59" i="31"/>
  <c r="Z44" i="27"/>
  <c r="X44" i="28"/>
  <c r="Y44" i="28" s="1"/>
  <c r="X72" i="40"/>
  <c r="Y72" i="40" s="1"/>
  <c r="AA77" i="39"/>
  <c r="AA79" i="39" s="1"/>
  <c r="X40" i="27"/>
  <c r="Y40" i="27" s="1"/>
  <c r="Z40" i="26"/>
  <c r="U72" i="29"/>
  <c r="V70" i="29"/>
  <c r="Z72" i="29"/>
  <c r="X16" i="30"/>
  <c r="Y16" i="30" s="1"/>
  <c r="Z16" i="29"/>
  <c r="H20" i="32"/>
  <c r="T25" i="33"/>
  <c r="V58" i="32"/>
  <c r="R58" i="31"/>
  <c r="U18" i="36"/>
  <c r="I13" i="35"/>
  <c r="X21" i="29"/>
  <c r="Y21" i="29" s="1"/>
  <c r="Z21" i="28"/>
  <c r="T23" i="31"/>
  <c r="H18" i="30"/>
  <c r="X54" i="29"/>
  <c r="Y54" i="29" s="1"/>
  <c r="Z54" i="28"/>
  <c r="T33" i="36"/>
  <c r="H28" i="35"/>
  <c r="Z53" i="27"/>
  <c r="X53" i="28"/>
  <c r="Y53" i="28" s="1"/>
  <c r="X26" i="33"/>
  <c r="Y26" i="33" s="1"/>
  <c r="Z26" i="32"/>
  <c r="U41" i="31"/>
  <c r="I36" i="30"/>
  <c r="I61" i="35"/>
  <c r="U66" i="36"/>
  <c r="T41" i="36"/>
  <c r="H36" i="35"/>
  <c r="U39" i="36"/>
  <c r="I34" i="35"/>
  <c r="U33" i="33"/>
  <c r="I28" i="32"/>
  <c r="Z23" i="26"/>
  <c r="X23" i="27"/>
  <c r="Y23" i="27" s="1"/>
  <c r="I54" i="36"/>
  <c r="U59" i="37"/>
  <c r="U63" i="30"/>
  <c r="I58" i="29"/>
  <c r="U43" i="32"/>
  <c r="I38" i="31"/>
  <c r="Z64" i="26"/>
  <c r="X64" i="27"/>
  <c r="Y64" i="27" s="1"/>
  <c r="H12" i="32"/>
  <c r="T17" i="33"/>
  <c r="U29" i="31"/>
  <c r="I24" i="30"/>
  <c r="X58" i="27"/>
  <c r="Y58" i="27" s="1"/>
  <c r="Z58" i="26"/>
  <c r="U35" i="32"/>
  <c r="I30" i="31"/>
  <c r="X36" i="29"/>
  <c r="Y36" i="29" s="1"/>
  <c r="Z36" i="28"/>
  <c r="Z32" i="31"/>
  <c r="X32" i="32"/>
  <c r="Y32" i="32" s="1"/>
  <c r="Z15" i="26"/>
  <c r="X15" i="27"/>
  <c r="Y15" i="27" s="1"/>
  <c r="U26" i="46"/>
  <c r="I21" i="40"/>
  <c r="V49" i="32"/>
  <c r="R49" i="31"/>
  <c r="H10" i="31"/>
  <c r="T15" i="32"/>
  <c r="T30" i="29"/>
  <c r="H25" i="28"/>
  <c r="T54" i="31"/>
  <c r="H49" i="30"/>
  <c r="T38" i="35"/>
  <c r="H33" i="34"/>
  <c r="U27" i="32"/>
  <c r="I22" i="31"/>
  <c r="Z20" i="33"/>
  <c r="X20" i="34"/>
  <c r="Y20" i="34" s="1"/>
  <c r="X56" i="27"/>
  <c r="Y56" i="27" s="1"/>
  <c r="Z56" i="26"/>
  <c r="X51" i="29"/>
  <c r="Y51" i="29" s="1"/>
  <c r="Z51" i="28"/>
  <c r="T60" i="32"/>
  <c r="H55" i="31"/>
  <c r="X55" i="29"/>
  <c r="Y55" i="29" s="1"/>
  <c r="Z55" i="28"/>
  <c r="U23" i="36"/>
  <c r="I18" i="35"/>
  <c r="Z25" i="26"/>
  <c r="X25" i="27"/>
  <c r="Y25" i="27" s="1"/>
  <c r="X59" i="28"/>
  <c r="Y59" i="28" s="1"/>
  <c r="Z59" i="27"/>
  <c r="I44" i="34"/>
  <c r="U49" i="35"/>
  <c r="Z62" i="28"/>
  <c r="X62" i="29"/>
  <c r="Y62" i="29" s="1"/>
  <c r="Z37" i="26"/>
  <c r="X37" i="27"/>
  <c r="Y37" i="27" s="1"/>
  <c r="T13" i="30"/>
  <c r="H8" i="29"/>
  <c r="U61" i="32"/>
  <c r="I56" i="31"/>
  <c r="U21" i="31"/>
  <c r="I16" i="30"/>
  <c r="Z27" i="27"/>
  <c r="X27" i="28"/>
  <c r="Y27" i="28" s="1"/>
  <c r="T49" i="33"/>
  <c r="H44" i="32"/>
  <c r="H53" i="38"/>
  <c r="T58" i="39"/>
  <c r="H53" i="39" s="1"/>
  <c r="V12" i="48"/>
  <c r="R12" i="47"/>
  <c r="H59" i="29"/>
  <c r="T64" i="30"/>
  <c r="X33" i="27"/>
  <c r="Y33" i="27" s="1"/>
  <c r="Z33" i="26"/>
  <c r="T28" i="34"/>
  <c r="H23" i="33"/>
  <c r="T27" i="28"/>
  <c r="H22" i="27"/>
  <c r="U52" i="36"/>
  <c r="I47" i="35"/>
  <c r="U42" i="33"/>
  <c r="I37" i="32"/>
  <c r="V22" i="56"/>
  <c r="R22" i="55"/>
  <c r="T29" i="37"/>
  <c r="H24" i="36"/>
  <c r="T22" i="35"/>
  <c r="H17" i="34"/>
  <c r="X29" i="27"/>
  <c r="Y29" i="27" s="1"/>
  <c r="Z29" i="26"/>
  <c r="X17" i="27"/>
  <c r="Y17" i="27" s="1"/>
  <c r="Z17" i="26"/>
  <c r="U37" i="31"/>
  <c r="I32" i="30"/>
  <c r="X60" i="28"/>
  <c r="Y60" i="28" s="1"/>
  <c r="Z60" i="27"/>
  <c r="X18" i="29"/>
  <c r="Y18" i="29" s="1"/>
  <c r="Z18" i="28"/>
  <c r="T14" i="35"/>
  <c r="H9" i="34"/>
  <c r="H29" i="29"/>
  <c r="T34" i="30"/>
  <c r="V63" i="32"/>
  <c r="R63" i="31"/>
  <c r="I62" i="30"/>
  <c r="U67" i="31"/>
  <c r="T16" i="29"/>
  <c r="H11" i="28"/>
  <c r="H46" i="30"/>
  <c r="T51" i="31"/>
  <c r="X30" i="27"/>
  <c r="Y30" i="27" s="1"/>
  <c r="Z30" i="26"/>
  <c r="V60" i="32"/>
  <c r="R60" i="31"/>
  <c r="V67" i="32"/>
  <c r="R67" i="31"/>
  <c r="Z67" i="31"/>
  <c r="Z38" i="26"/>
  <c r="X38" i="27"/>
  <c r="Y38" i="27" s="1"/>
  <c r="V65" i="32"/>
  <c r="R65" i="31"/>
  <c r="Z65" i="31"/>
  <c r="T12" i="33"/>
  <c r="H7" i="32"/>
  <c r="Z19" i="28"/>
  <c r="X19" i="29"/>
  <c r="Y19" i="29" s="1"/>
  <c r="U19" i="31"/>
  <c r="I14" i="30"/>
  <c r="Z57" i="29"/>
  <c r="X57" i="30"/>
  <c r="Y57" i="30" s="1"/>
  <c r="T36" i="34"/>
  <c r="H31" i="33"/>
  <c r="V66" i="32"/>
  <c r="R66" i="31"/>
  <c r="T37" i="30"/>
  <c r="H32" i="29"/>
  <c r="U51" i="31"/>
  <c r="I46" i="30"/>
  <c r="R51" i="53" l="1"/>
  <c r="V51" i="54"/>
  <c r="R34" i="53"/>
  <c r="V34" i="54"/>
  <c r="R64" i="48"/>
  <c r="V64" i="49"/>
  <c r="V16" i="49"/>
  <c r="R16" i="48"/>
  <c r="V21" i="49"/>
  <c r="R21" i="48"/>
  <c r="V43" i="50"/>
  <c r="R43" i="49"/>
  <c r="U16" i="49"/>
  <c r="I11" i="48"/>
  <c r="V18" i="51"/>
  <c r="R18" i="50"/>
  <c r="R54" i="48"/>
  <c r="V54" i="49"/>
  <c r="V14" i="49"/>
  <c r="R14" i="48"/>
  <c r="R15" i="51"/>
  <c r="V15" i="52"/>
  <c r="V39" i="50"/>
  <c r="R39" i="49"/>
  <c r="I27" i="48"/>
  <c r="U32" i="49"/>
  <c r="V27" i="51"/>
  <c r="R27" i="50"/>
  <c r="V37" i="49"/>
  <c r="R37" i="48"/>
  <c r="V32" i="49"/>
  <c r="R32" i="48"/>
  <c r="I55" i="48"/>
  <c r="U60" i="49"/>
  <c r="V26" i="55"/>
  <c r="R26" i="54"/>
  <c r="Z38" i="27"/>
  <c r="X38" i="28"/>
  <c r="Y38" i="28" s="1"/>
  <c r="X29" i="28"/>
  <c r="Y29" i="28" s="1"/>
  <c r="Z29" i="27"/>
  <c r="T33" i="37"/>
  <c r="H28" i="36"/>
  <c r="X44" i="29"/>
  <c r="Y44" i="29" s="1"/>
  <c r="Z44" i="28"/>
  <c r="X49" i="31"/>
  <c r="Y49" i="31" s="1"/>
  <c r="Z49" i="30"/>
  <c r="Z19" i="29"/>
  <c r="X19" i="30"/>
  <c r="Y19" i="30" s="1"/>
  <c r="Z30" i="27"/>
  <c r="X30" i="28"/>
  <c r="Y30" i="28" s="1"/>
  <c r="I37" i="33"/>
  <c r="U42" i="34"/>
  <c r="X33" i="28"/>
  <c r="Y33" i="28" s="1"/>
  <c r="Z33" i="27"/>
  <c r="U61" i="33"/>
  <c r="I56" i="32"/>
  <c r="Z55" i="29"/>
  <c r="X55" i="30"/>
  <c r="Y55" i="30" s="1"/>
  <c r="T30" i="30"/>
  <c r="H25" i="29"/>
  <c r="Z15" i="27"/>
  <c r="X15" i="28"/>
  <c r="Y15" i="28" s="1"/>
  <c r="X43" i="30"/>
  <c r="Y43" i="30" s="1"/>
  <c r="Z43" i="29"/>
  <c r="Z61" i="28"/>
  <c r="X61" i="29"/>
  <c r="Y61" i="29" s="1"/>
  <c r="T19" i="38"/>
  <c r="H14" i="37"/>
  <c r="T50" i="33"/>
  <c r="H45" i="32"/>
  <c r="T56" i="31"/>
  <c r="H51" i="30"/>
  <c r="I20" i="34"/>
  <c r="U25" i="35"/>
  <c r="X14" i="28"/>
  <c r="Y14" i="28" s="1"/>
  <c r="Z14" i="27"/>
  <c r="I10" i="32"/>
  <c r="U15" i="33"/>
  <c r="U19" i="32"/>
  <c r="I14" i="31"/>
  <c r="X18" i="30"/>
  <c r="Y18" i="30" s="1"/>
  <c r="Z18" i="29"/>
  <c r="U49" i="36"/>
  <c r="I44" i="35"/>
  <c r="Z20" i="34"/>
  <c r="X20" i="35"/>
  <c r="Y20" i="35" s="1"/>
  <c r="U35" i="33"/>
  <c r="I30" i="32"/>
  <c r="I13" i="36"/>
  <c r="U18" i="37"/>
  <c r="V29" i="33"/>
  <c r="R29" i="32"/>
  <c r="V68" i="32"/>
  <c r="U55" i="31"/>
  <c r="I50" i="30"/>
  <c r="Z35" i="28"/>
  <c r="X35" i="29"/>
  <c r="Y35" i="29" s="1"/>
  <c r="X22" i="28"/>
  <c r="Y22" i="28" s="1"/>
  <c r="Z22" i="27"/>
  <c r="V66" i="33"/>
  <c r="R66" i="32"/>
  <c r="H46" i="31"/>
  <c r="T51" i="32"/>
  <c r="V63" i="33"/>
  <c r="R63" i="32"/>
  <c r="X60" i="29"/>
  <c r="Y60" i="29" s="1"/>
  <c r="Z60" i="28"/>
  <c r="T22" i="36"/>
  <c r="H17" i="35"/>
  <c r="T64" i="31"/>
  <c r="H59" i="30"/>
  <c r="T15" i="33"/>
  <c r="H10" i="32"/>
  <c r="X58" i="28"/>
  <c r="Y58" i="28" s="1"/>
  <c r="Z58" i="27"/>
  <c r="U43" i="33"/>
  <c r="I38" i="32"/>
  <c r="U33" i="34"/>
  <c r="I28" i="33"/>
  <c r="U41" i="32"/>
  <c r="I36" i="31"/>
  <c r="X54" i="30"/>
  <c r="Y54" i="30" s="1"/>
  <c r="Z54" i="29"/>
  <c r="Z34" i="28"/>
  <c r="X34" i="29"/>
  <c r="Y34" i="29" s="1"/>
  <c r="Z24" i="30"/>
  <c r="X24" i="31"/>
  <c r="Y24" i="31" s="1"/>
  <c r="H54" i="38"/>
  <c r="T59" i="39"/>
  <c r="H54" i="39" s="1"/>
  <c r="U53" i="33"/>
  <c r="I48" i="32"/>
  <c r="T44" i="33"/>
  <c r="H39" i="32"/>
  <c r="X39" i="30"/>
  <c r="Y39" i="30" s="1"/>
  <c r="Z39" i="29"/>
  <c r="X59" i="29"/>
  <c r="Y59" i="29" s="1"/>
  <c r="Z59" i="28"/>
  <c r="Z52" i="28"/>
  <c r="X52" i="29"/>
  <c r="Y52" i="29" s="1"/>
  <c r="R28" i="53"/>
  <c r="V28" i="54"/>
  <c r="H27" i="28"/>
  <c r="T32" i="29"/>
  <c r="I26" i="32"/>
  <c r="U31" i="33"/>
  <c r="I47" i="36"/>
  <c r="U52" i="37"/>
  <c r="T13" i="31"/>
  <c r="H8" i="30"/>
  <c r="U27" i="33"/>
  <c r="I22" i="32"/>
  <c r="V58" i="33"/>
  <c r="R58" i="32"/>
  <c r="Z50" i="27"/>
  <c r="X50" i="28"/>
  <c r="Y50" i="28" s="1"/>
  <c r="H31" i="34"/>
  <c r="T36" i="35"/>
  <c r="H7" i="33"/>
  <c r="T12" i="34"/>
  <c r="V67" i="33"/>
  <c r="R67" i="32"/>
  <c r="Z67" i="32"/>
  <c r="U37" i="32"/>
  <c r="I32" i="31"/>
  <c r="H24" i="37"/>
  <c r="T29" i="38"/>
  <c r="X27" i="29"/>
  <c r="Y27" i="29" s="1"/>
  <c r="Z27" i="28"/>
  <c r="Z37" i="27"/>
  <c r="X37" i="28"/>
  <c r="Y37" i="28" s="1"/>
  <c r="Z25" i="27"/>
  <c r="X25" i="28"/>
  <c r="Y25" i="28" s="1"/>
  <c r="U29" i="32"/>
  <c r="I24" i="31"/>
  <c r="U63" i="31"/>
  <c r="I58" i="30"/>
  <c r="U39" i="37"/>
  <c r="I34" i="36"/>
  <c r="X26" i="34"/>
  <c r="Y26" i="34" s="1"/>
  <c r="Z26" i="33"/>
  <c r="T23" i="32"/>
  <c r="H18" i="31"/>
  <c r="H20" i="33"/>
  <c r="T25" i="34"/>
  <c r="X40" i="28"/>
  <c r="Y40" i="28" s="1"/>
  <c r="Z40" i="27"/>
  <c r="V59" i="33"/>
  <c r="R59" i="32"/>
  <c r="H26" i="32"/>
  <c r="T31" i="33"/>
  <c r="T21" i="31"/>
  <c r="H16" i="30"/>
  <c r="AA88" i="15"/>
  <c r="AF14" i="15" s="1"/>
  <c r="AA87" i="16"/>
  <c r="X28" i="30"/>
  <c r="Y28" i="30" s="1"/>
  <c r="Z28" i="29"/>
  <c r="I23" i="32"/>
  <c r="U28" i="33"/>
  <c r="U57" i="36"/>
  <c r="I52" i="35"/>
  <c r="V70" i="30"/>
  <c r="U72" i="30"/>
  <c r="Z72" i="30"/>
  <c r="H38" i="35"/>
  <c r="T43" i="36"/>
  <c r="H29" i="30"/>
  <c r="T34" i="31"/>
  <c r="T49" i="34"/>
  <c r="H44" i="33"/>
  <c r="Z32" i="32"/>
  <c r="X32" i="33"/>
  <c r="Y32" i="33" s="1"/>
  <c r="T27" i="29"/>
  <c r="H22" i="28"/>
  <c r="Z51" i="29"/>
  <c r="X51" i="30"/>
  <c r="Y51" i="30" s="1"/>
  <c r="H33" i="35"/>
  <c r="T38" i="36"/>
  <c r="T17" i="34"/>
  <c r="H12" i="33"/>
  <c r="I54" i="37"/>
  <c r="U59" i="38"/>
  <c r="Z53" i="28"/>
  <c r="X53" i="29"/>
  <c r="Y53" i="29" s="1"/>
  <c r="AA81" i="39"/>
  <c r="AF16" i="39" s="1"/>
  <c r="AA80" i="40"/>
  <c r="U74" i="31"/>
  <c r="R68" i="31"/>
  <c r="V72" i="31"/>
  <c r="U73" i="31"/>
  <c r="V56" i="33"/>
  <c r="R56" i="32"/>
  <c r="U38" i="36"/>
  <c r="I33" i="35"/>
  <c r="V17" i="52"/>
  <c r="R17" i="51"/>
  <c r="V36" i="33"/>
  <c r="R36" i="32"/>
  <c r="Z57" i="30"/>
  <c r="X57" i="31"/>
  <c r="Y57" i="31" s="1"/>
  <c r="I62" i="31"/>
  <c r="U67" i="32"/>
  <c r="T14" i="36"/>
  <c r="H9" i="35"/>
  <c r="X17" i="28"/>
  <c r="Y17" i="28" s="1"/>
  <c r="Z17" i="27"/>
  <c r="Z62" i="29"/>
  <c r="X62" i="30"/>
  <c r="Y62" i="30" s="1"/>
  <c r="V49" i="33"/>
  <c r="R49" i="32"/>
  <c r="X36" i="30"/>
  <c r="Y36" i="30" s="1"/>
  <c r="Z36" i="29"/>
  <c r="T41" i="37"/>
  <c r="H36" i="36"/>
  <c r="Z21" i="29"/>
  <c r="X21" i="30"/>
  <c r="Y21" i="30" s="1"/>
  <c r="X72" i="46"/>
  <c r="Y72" i="46" s="1"/>
  <c r="AA77" i="40"/>
  <c r="AA79" i="40" s="1"/>
  <c r="Z31" i="30"/>
  <c r="X31" i="31"/>
  <c r="Y31" i="31" s="1"/>
  <c r="Y12" i="19"/>
  <c r="X63" i="28"/>
  <c r="Y63" i="28" s="1"/>
  <c r="Z63" i="27"/>
  <c r="T40" i="30"/>
  <c r="H35" i="29"/>
  <c r="Y74" i="16"/>
  <c r="AG27" i="16"/>
  <c r="I12" i="33"/>
  <c r="U17" i="34"/>
  <c r="R33" i="46"/>
  <c r="V33" i="47"/>
  <c r="X66" i="28"/>
  <c r="Y66" i="28" s="1"/>
  <c r="Z66" i="27"/>
  <c r="T60" i="33"/>
  <c r="H55" i="32"/>
  <c r="I46" i="31"/>
  <c r="U51" i="32"/>
  <c r="T16" i="30"/>
  <c r="H11" i="29"/>
  <c r="T37" i="31"/>
  <c r="H32" i="30"/>
  <c r="V65" i="33"/>
  <c r="R65" i="32"/>
  <c r="Z65" i="32"/>
  <c r="V60" i="33"/>
  <c r="R60" i="32"/>
  <c r="V22" i="57"/>
  <c r="R22" i="56"/>
  <c r="T28" i="35"/>
  <c r="H23" i="34"/>
  <c r="V12" i="49"/>
  <c r="R12" i="48"/>
  <c r="U21" i="32"/>
  <c r="I16" i="31"/>
  <c r="U23" i="37"/>
  <c r="I18" i="36"/>
  <c r="X56" i="28"/>
  <c r="Y56" i="28" s="1"/>
  <c r="Z56" i="27"/>
  <c r="H49" i="31"/>
  <c r="T54" i="32"/>
  <c r="Z64" i="27"/>
  <c r="X64" i="28"/>
  <c r="Y64" i="28" s="1"/>
  <c r="X23" i="28"/>
  <c r="Y23" i="28" s="1"/>
  <c r="Z23" i="27"/>
  <c r="U66" i="37"/>
  <c r="I61" i="36"/>
  <c r="Z16" i="30"/>
  <c r="X16" i="31"/>
  <c r="Y16" i="31" s="1"/>
  <c r="T35" i="36"/>
  <c r="H30" i="35"/>
  <c r="X42" i="33"/>
  <c r="Y42" i="33" s="1"/>
  <c r="Z42" i="32"/>
  <c r="T52" i="33"/>
  <c r="H47" i="32"/>
  <c r="H37" i="37"/>
  <c r="T42" i="38"/>
  <c r="T20" i="35"/>
  <c r="H15" i="34"/>
  <c r="U26" i="47"/>
  <c r="I21" i="46"/>
  <c r="X41" i="29"/>
  <c r="Y41" i="29" s="1"/>
  <c r="Z41" i="28"/>
  <c r="T18" i="33"/>
  <c r="H13" i="32"/>
  <c r="V73" i="40"/>
  <c r="R73" i="39"/>
  <c r="Z73" i="39"/>
  <c r="Y13" i="17"/>
  <c r="X68" i="17"/>
  <c r="X74" i="17" s="1"/>
  <c r="T53" i="32"/>
  <c r="H48" i="31"/>
  <c r="T24" i="38"/>
  <c r="H19" i="37"/>
  <c r="V42" i="40"/>
  <c r="R42" i="39"/>
  <c r="H21" i="30"/>
  <c r="T26" i="31"/>
  <c r="U65" i="31"/>
  <c r="I60" i="30"/>
  <c r="R32" i="49" l="1"/>
  <c r="V32" i="50"/>
  <c r="V39" i="51"/>
  <c r="R39" i="50"/>
  <c r="V18" i="52"/>
  <c r="R18" i="51"/>
  <c r="V16" i="50"/>
  <c r="R16" i="49"/>
  <c r="V64" i="50"/>
  <c r="R64" i="49"/>
  <c r="R15" i="52"/>
  <c r="V15" i="53"/>
  <c r="R37" i="49"/>
  <c r="V37" i="50"/>
  <c r="U16" i="50"/>
  <c r="I11" i="49"/>
  <c r="V34" i="55"/>
  <c r="R34" i="54"/>
  <c r="V26" i="56"/>
  <c r="R26" i="55"/>
  <c r="R27" i="51"/>
  <c r="V27" i="52"/>
  <c r="R14" i="49"/>
  <c r="V14" i="50"/>
  <c r="R43" i="50"/>
  <c r="V43" i="51"/>
  <c r="U60" i="50"/>
  <c r="I55" i="49"/>
  <c r="I27" i="49"/>
  <c r="U32" i="50"/>
  <c r="R54" i="49"/>
  <c r="V54" i="50"/>
  <c r="R51" i="54"/>
  <c r="V51" i="55"/>
  <c r="V21" i="50"/>
  <c r="R21" i="49"/>
  <c r="T53" i="33"/>
  <c r="H48" i="32"/>
  <c r="T54" i="33"/>
  <c r="H49" i="32"/>
  <c r="R22" i="57"/>
  <c r="V56" i="34"/>
  <c r="R56" i="33"/>
  <c r="Z51" i="30"/>
  <c r="X51" i="31"/>
  <c r="Y51" i="31" s="1"/>
  <c r="H16" i="31"/>
  <c r="T21" i="32"/>
  <c r="I26" i="33"/>
  <c r="U31" i="34"/>
  <c r="Z54" i="30"/>
  <c r="X54" i="31"/>
  <c r="Y54" i="31" s="1"/>
  <c r="X60" i="30"/>
  <c r="Y60" i="30" s="1"/>
  <c r="Z60" i="29"/>
  <c r="V66" i="34"/>
  <c r="R66" i="33"/>
  <c r="T50" i="34"/>
  <c r="H45" i="33"/>
  <c r="H35" i="30"/>
  <c r="T40" i="31"/>
  <c r="T14" i="37"/>
  <c r="H9" i="36"/>
  <c r="I23" i="33"/>
  <c r="U28" i="34"/>
  <c r="T31" i="34"/>
  <c r="H26" i="33"/>
  <c r="U63" i="32"/>
  <c r="I58" i="31"/>
  <c r="X27" i="30"/>
  <c r="Y27" i="30" s="1"/>
  <c r="Z27" i="29"/>
  <c r="T12" i="35"/>
  <c r="H7" i="34"/>
  <c r="V58" i="34"/>
  <c r="R58" i="33"/>
  <c r="I37" i="34"/>
  <c r="U42" i="35"/>
  <c r="T25" i="35"/>
  <c r="H20" i="34"/>
  <c r="V67" i="34"/>
  <c r="R67" i="33"/>
  <c r="Z67" i="33"/>
  <c r="I48" i="33"/>
  <c r="U53" i="34"/>
  <c r="X33" i="29"/>
  <c r="Y33" i="29" s="1"/>
  <c r="Z33" i="28"/>
  <c r="X13" i="18"/>
  <c r="Z13" i="17"/>
  <c r="Z68" i="17" s="1"/>
  <c r="Z74" i="17" s="1"/>
  <c r="Z70" i="17" s="1"/>
  <c r="Y68" i="17"/>
  <c r="X41" i="30"/>
  <c r="Y41" i="30" s="1"/>
  <c r="Z41" i="29"/>
  <c r="V12" i="50"/>
  <c r="R12" i="49"/>
  <c r="H11" i="30"/>
  <c r="T16" i="31"/>
  <c r="V33" i="48"/>
  <c r="R33" i="47"/>
  <c r="AA77" i="46"/>
  <c r="AA79" i="46" s="1"/>
  <c r="X72" i="47"/>
  <c r="Y72" i="47" s="1"/>
  <c r="I62" i="32"/>
  <c r="U67" i="33"/>
  <c r="U59" i="39"/>
  <c r="I54" i="38"/>
  <c r="T43" i="37"/>
  <c r="H38" i="36"/>
  <c r="T29" i="39"/>
  <c r="H24" i="39" s="1"/>
  <c r="H24" i="38"/>
  <c r="T32" i="30"/>
  <c r="H27" i="29"/>
  <c r="X59" i="30"/>
  <c r="Y59" i="30" s="1"/>
  <c r="Z59" i="29"/>
  <c r="U41" i="33"/>
  <c r="I36" i="32"/>
  <c r="T15" i="34"/>
  <c r="H10" i="33"/>
  <c r="Z22" i="28"/>
  <c r="X22" i="29"/>
  <c r="Y22" i="29" s="1"/>
  <c r="V29" i="34"/>
  <c r="R29" i="33"/>
  <c r="V68" i="33"/>
  <c r="U49" i="37"/>
  <c r="I44" i="36"/>
  <c r="Z14" i="28"/>
  <c r="X14" i="29"/>
  <c r="Y14" i="29" s="1"/>
  <c r="H14" i="38"/>
  <c r="T19" i="39"/>
  <c r="H14" i="39" s="1"/>
  <c r="H25" i="30"/>
  <c r="T30" i="31"/>
  <c r="Z44" i="29"/>
  <c r="X44" i="30"/>
  <c r="Y44" i="30" s="1"/>
  <c r="Z16" i="31"/>
  <c r="X16" i="32"/>
  <c r="Y16" i="32" s="1"/>
  <c r="H32" i="31"/>
  <c r="T37" i="32"/>
  <c r="AA81" i="40"/>
  <c r="AF16" i="40" s="1"/>
  <c r="AA80" i="46"/>
  <c r="V36" i="34"/>
  <c r="R36" i="33"/>
  <c r="X53" i="30"/>
  <c r="Y53" i="30" s="1"/>
  <c r="Z53" i="29"/>
  <c r="U57" i="37"/>
  <c r="I52" i="36"/>
  <c r="T52" i="34"/>
  <c r="H47" i="33"/>
  <c r="I61" i="37"/>
  <c r="U66" i="38"/>
  <c r="X56" i="29"/>
  <c r="Y56" i="29" s="1"/>
  <c r="Z56" i="28"/>
  <c r="V60" i="34"/>
  <c r="R60" i="33"/>
  <c r="U51" i="33"/>
  <c r="I46" i="32"/>
  <c r="X63" i="29"/>
  <c r="Y63" i="29" s="1"/>
  <c r="Z63" i="28"/>
  <c r="X21" i="31"/>
  <c r="Y21" i="31" s="1"/>
  <c r="Z21" i="30"/>
  <c r="V49" i="34"/>
  <c r="R49" i="33"/>
  <c r="V17" i="53"/>
  <c r="R17" i="52"/>
  <c r="U72" i="31"/>
  <c r="V70" i="31"/>
  <c r="Z72" i="31"/>
  <c r="T27" i="30"/>
  <c r="H22" i="29"/>
  <c r="T23" i="33"/>
  <c r="H18" i="32"/>
  <c r="U29" i="33"/>
  <c r="I24" i="32"/>
  <c r="T36" i="36"/>
  <c r="H31" i="35"/>
  <c r="I22" i="33"/>
  <c r="U27" i="34"/>
  <c r="X24" i="32"/>
  <c r="Y24" i="32" s="1"/>
  <c r="Z24" i="31"/>
  <c r="V63" i="34"/>
  <c r="R63" i="33"/>
  <c r="X35" i="30"/>
  <c r="Y35" i="30" s="1"/>
  <c r="Z35" i="29"/>
  <c r="U18" i="38"/>
  <c r="I13" i="37"/>
  <c r="U25" i="36"/>
  <c r="I20" i="35"/>
  <c r="X61" i="30"/>
  <c r="Y61" i="30" s="1"/>
  <c r="Z61" i="29"/>
  <c r="Z55" i="30"/>
  <c r="X55" i="31"/>
  <c r="Y55" i="31" s="1"/>
  <c r="X30" i="29"/>
  <c r="Y30" i="29" s="1"/>
  <c r="Z30" i="28"/>
  <c r="Z62" i="30"/>
  <c r="X62" i="31"/>
  <c r="Y62" i="31" s="1"/>
  <c r="X32" i="34"/>
  <c r="Y32" i="34" s="1"/>
  <c r="Z32" i="33"/>
  <c r="Z25" i="28"/>
  <c r="X25" i="29"/>
  <c r="Y25" i="29" s="1"/>
  <c r="T64" i="32"/>
  <c r="H59" i="31"/>
  <c r="V42" i="46"/>
  <c r="R42" i="40"/>
  <c r="I12" i="34"/>
  <c r="U17" i="35"/>
  <c r="Z57" i="31"/>
  <c r="X57" i="32"/>
  <c r="Y57" i="32" s="1"/>
  <c r="X39" i="31"/>
  <c r="Y39" i="31" s="1"/>
  <c r="Z39" i="30"/>
  <c r="H46" i="32"/>
  <c r="T51" i="33"/>
  <c r="Z18" i="30"/>
  <c r="X18" i="31"/>
  <c r="Y18" i="31" s="1"/>
  <c r="H28" i="37"/>
  <c r="T33" i="38"/>
  <c r="U26" i="48"/>
  <c r="I21" i="47"/>
  <c r="X42" i="34"/>
  <c r="Y42" i="34" s="1"/>
  <c r="Z42" i="33"/>
  <c r="X23" i="29"/>
  <c r="Y23" i="29" s="1"/>
  <c r="Z23" i="28"/>
  <c r="U23" i="38"/>
  <c r="I18" i="37"/>
  <c r="T28" i="36"/>
  <c r="H23" i="35"/>
  <c r="X12" i="20"/>
  <c r="Z12" i="19"/>
  <c r="U38" i="37"/>
  <c r="I33" i="36"/>
  <c r="T17" i="35"/>
  <c r="H12" i="34"/>
  <c r="V59" i="34"/>
  <c r="R59" i="33"/>
  <c r="X26" i="35"/>
  <c r="Y26" i="35" s="1"/>
  <c r="Z26" i="34"/>
  <c r="I32" i="32"/>
  <c r="U37" i="33"/>
  <c r="Z50" i="28"/>
  <c r="X50" i="29"/>
  <c r="Y50" i="29" s="1"/>
  <c r="H8" i="31"/>
  <c r="T13" i="32"/>
  <c r="V28" i="55"/>
  <c r="R28" i="54"/>
  <c r="X34" i="30"/>
  <c r="Y34" i="30" s="1"/>
  <c r="Z34" i="29"/>
  <c r="X19" i="31"/>
  <c r="Y19" i="31" s="1"/>
  <c r="Z19" i="30"/>
  <c r="H21" i="31"/>
  <c r="T26" i="32"/>
  <c r="I28" i="34"/>
  <c r="U33" i="35"/>
  <c r="H19" i="38"/>
  <c r="T24" i="39"/>
  <c r="H19" i="39" s="1"/>
  <c r="V73" i="46"/>
  <c r="Z73" i="40"/>
  <c r="X64" i="29"/>
  <c r="Y64" i="29" s="1"/>
  <c r="Z64" i="28"/>
  <c r="V65" i="34"/>
  <c r="R65" i="33"/>
  <c r="Z65" i="33"/>
  <c r="T60" i="34"/>
  <c r="H55" i="33"/>
  <c r="X31" i="32"/>
  <c r="Y31" i="32" s="1"/>
  <c r="Z31" i="31"/>
  <c r="T41" i="38"/>
  <c r="H36" i="37"/>
  <c r="T38" i="37"/>
  <c r="H33" i="36"/>
  <c r="X37" i="29"/>
  <c r="Y37" i="29" s="1"/>
  <c r="Z37" i="28"/>
  <c r="U52" i="38"/>
  <c r="I47" i="37"/>
  <c r="T44" i="34"/>
  <c r="H39" i="33"/>
  <c r="I38" i="33"/>
  <c r="U43" i="34"/>
  <c r="T22" i="37"/>
  <c r="H17" i="36"/>
  <c r="U55" i="32"/>
  <c r="I50" i="31"/>
  <c r="U35" i="34"/>
  <c r="I30" i="33"/>
  <c r="U19" i="33"/>
  <c r="I14" i="32"/>
  <c r="T56" i="32"/>
  <c r="H51" i="31"/>
  <c r="Z43" i="30"/>
  <c r="X43" i="31"/>
  <c r="Y43" i="31" s="1"/>
  <c r="U61" i="34"/>
  <c r="I56" i="33"/>
  <c r="X29" i="29"/>
  <c r="Y29" i="29" s="1"/>
  <c r="Z29" i="28"/>
  <c r="T42" i="39"/>
  <c r="H37" i="39" s="1"/>
  <c r="H37" i="38"/>
  <c r="X28" i="31"/>
  <c r="Y28" i="31" s="1"/>
  <c r="Z28" i="30"/>
  <c r="U65" i="32"/>
  <c r="I60" i="31"/>
  <c r="H15" i="35"/>
  <c r="T20" i="36"/>
  <c r="H30" i="36"/>
  <c r="T35" i="37"/>
  <c r="I16" i="32"/>
  <c r="U21" i="33"/>
  <c r="Y70" i="16"/>
  <c r="AA84" i="16"/>
  <c r="AA86" i="16" s="1"/>
  <c r="V78" i="16"/>
  <c r="V79" i="16" s="1"/>
  <c r="X17" i="29"/>
  <c r="Y17" i="29" s="1"/>
  <c r="Z17" i="28"/>
  <c r="H44" i="34"/>
  <c r="T49" i="35"/>
  <c r="Z40" i="28"/>
  <c r="X40" i="29"/>
  <c r="Y40" i="29" s="1"/>
  <c r="U39" i="38"/>
  <c r="I34" i="37"/>
  <c r="X52" i="30"/>
  <c r="Y52" i="30" s="1"/>
  <c r="Z52" i="29"/>
  <c r="U74" i="32"/>
  <c r="V72" i="32"/>
  <c r="R68" i="32"/>
  <c r="U73" i="32"/>
  <c r="Z20" i="35"/>
  <c r="X20" i="36"/>
  <c r="Y20" i="36" s="1"/>
  <c r="U15" i="34"/>
  <c r="I10" i="33"/>
  <c r="X15" i="29"/>
  <c r="Y15" i="29" s="1"/>
  <c r="Z15" i="28"/>
  <c r="Z38" i="28"/>
  <c r="X38" i="29"/>
  <c r="Y38" i="29" s="1"/>
  <c r="H13" i="33"/>
  <c r="T18" i="34"/>
  <c r="X66" i="29"/>
  <c r="Y66" i="29" s="1"/>
  <c r="Z66" i="28"/>
  <c r="X36" i="31"/>
  <c r="Y36" i="31" s="1"/>
  <c r="Z36" i="30"/>
  <c r="T34" i="32"/>
  <c r="H29" i="31"/>
  <c r="X58" i="29"/>
  <c r="Y58" i="29" s="1"/>
  <c r="Z58" i="28"/>
  <c r="X49" i="32"/>
  <c r="Y49" i="32" s="1"/>
  <c r="Z49" i="31"/>
  <c r="U32" i="51" l="1"/>
  <c r="I27" i="50"/>
  <c r="R27" i="52"/>
  <c r="V27" i="53"/>
  <c r="R37" i="50"/>
  <c r="V37" i="51"/>
  <c r="R14" i="50"/>
  <c r="V14" i="51"/>
  <c r="R18" i="52"/>
  <c r="V18" i="53"/>
  <c r="I11" i="50"/>
  <c r="U16" i="51"/>
  <c r="V15" i="54"/>
  <c r="R15" i="53"/>
  <c r="R21" i="50"/>
  <c r="V21" i="51"/>
  <c r="I55" i="50"/>
  <c r="U60" i="51"/>
  <c r="V26" i="57"/>
  <c r="R26" i="57" s="1"/>
  <c r="R26" i="56"/>
  <c r="R39" i="51"/>
  <c r="V39" i="52"/>
  <c r="V54" i="51"/>
  <c r="R54" i="50"/>
  <c r="V16" i="51"/>
  <c r="R16" i="50"/>
  <c r="V51" i="56"/>
  <c r="R51" i="55"/>
  <c r="R43" i="51"/>
  <c r="V43" i="52"/>
  <c r="V32" i="51"/>
  <c r="R32" i="50"/>
  <c r="R34" i="55"/>
  <c r="V34" i="56"/>
  <c r="R64" i="50"/>
  <c r="V64" i="51"/>
  <c r="X21" i="32"/>
  <c r="Y21" i="32" s="1"/>
  <c r="Z21" i="31"/>
  <c r="R29" i="34"/>
  <c r="V29" i="35"/>
  <c r="V68" i="34"/>
  <c r="X59" i="31"/>
  <c r="Y59" i="31" s="1"/>
  <c r="Z59" i="30"/>
  <c r="U59" i="40"/>
  <c r="I54" i="39"/>
  <c r="R33" i="48"/>
  <c r="V33" i="49"/>
  <c r="Z41" i="30"/>
  <c r="X41" i="31"/>
  <c r="Y41" i="31" s="1"/>
  <c r="T56" i="33"/>
  <c r="H51" i="32"/>
  <c r="H17" i="37"/>
  <c r="T22" i="38"/>
  <c r="Z37" i="29"/>
  <c r="X37" i="30"/>
  <c r="Y37" i="30" s="1"/>
  <c r="H55" i="34"/>
  <c r="T60" i="35"/>
  <c r="V73" i="47"/>
  <c r="Z73" i="46"/>
  <c r="Y12" i="20"/>
  <c r="X42" i="35"/>
  <c r="Y42" i="35" s="1"/>
  <c r="Z42" i="34"/>
  <c r="Z62" i="31"/>
  <c r="X62" i="32"/>
  <c r="Y62" i="32" s="1"/>
  <c r="V63" i="35"/>
  <c r="R63" i="34"/>
  <c r="U29" i="34"/>
  <c r="I24" i="33"/>
  <c r="X56" i="30"/>
  <c r="Y56" i="30" s="1"/>
  <c r="Z56" i="29"/>
  <c r="X53" i="31"/>
  <c r="Y53" i="31" s="1"/>
  <c r="Z53" i="30"/>
  <c r="X16" i="33"/>
  <c r="Y16" i="33" s="1"/>
  <c r="Z16" i="32"/>
  <c r="Z14" i="29"/>
  <c r="X14" i="30"/>
  <c r="Y14" i="30" s="1"/>
  <c r="X22" i="30"/>
  <c r="Y22" i="30" s="1"/>
  <c r="Z22" i="29"/>
  <c r="I62" i="33"/>
  <c r="U67" i="34"/>
  <c r="T16" i="32"/>
  <c r="H11" i="31"/>
  <c r="Y74" i="17"/>
  <c r="AG27" i="17"/>
  <c r="V58" i="35"/>
  <c r="R58" i="34"/>
  <c r="T31" i="35"/>
  <c r="H26" i="34"/>
  <c r="T50" i="35"/>
  <c r="H45" i="34"/>
  <c r="I26" i="34"/>
  <c r="U31" i="35"/>
  <c r="V56" i="35"/>
  <c r="R56" i="34"/>
  <c r="T35" i="38"/>
  <c r="H30" i="37"/>
  <c r="T13" i="33"/>
  <c r="H8" i="32"/>
  <c r="X61" i="31"/>
  <c r="Y61" i="31" s="1"/>
  <c r="Z61" i="30"/>
  <c r="I10" i="34"/>
  <c r="U15" i="35"/>
  <c r="I61" i="38"/>
  <c r="U66" i="39"/>
  <c r="V67" i="35"/>
  <c r="R67" i="34"/>
  <c r="Z67" i="34"/>
  <c r="U28" i="35"/>
  <c r="I23" i="34"/>
  <c r="T18" i="35"/>
  <c r="H13" i="34"/>
  <c r="X20" i="37"/>
  <c r="Y20" i="37" s="1"/>
  <c r="Z20" i="36"/>
  <c r="X29" i="30"/>
  <c r="Y29" i="30" s="1"/>
  <c r="Z29" i="29"/>
  <c r="I14" i="33"/>
  <c r="U19" i="34"/>
  <c r="T38" i="38"/>
  <c r="H33" i="37"/>
  <c r="T28" i="37"/>
  <c r="H23" i="36"/>
  <c r="U26" i="49"/>
  <c r="I21" i="48"/>
  <c r="Z39" i="31"/>
  <c r="X39" i="32"/>
  <c r="Y39" i="32" s="1"/>
  <c r="Z24" i="32"/>
  <c r="X24" i="33"/>
  <c r="Y24" i="33" s="1"/>
  <c r="T23" i="34"/>
  <c r="H18" i="33"/>
  <c r="V17" i="54"/>
  <c r="R17" i="53"/>
  <c r="Z44" i="30"/>
  <c r="X44" i="31"/>
  <c r="Y44" i="31" s="1"/>
  <c r="Y13" i="18"/>
  <c r="X68" i="18"/>
  <c r="X74" i="18" s="1"/>
  <c r="H7" i="35"/>
  <c r="T12" i="36"/>
  <c r="T21" i="33"/>
  <c r="H16" i="32"/>
  <c r="H46" i="33"/>
  <c r="T51" i="34"/>
  <c r="X66" i="30"/>
  <c r="Y66" i="30" s="1"/>
  <c r="Z66" i="29"/>
  <c r="V59" i="35"/>
  <c r="R59" i="34"/>
  <c r="V42" i="47"/>
  <c r="R42" i="46"/>
  <c r="T32" i="31"/>
  <c r="H27" i="30"/>
  <c r="X58" i="30"/>
  <c r="Y58" i="30" s="1"/>
  <c r="Z58" i="29"/>
  <c r="I34" i="38"/>
  <c r="U39" i="39"/>
  <c r="AA87" i="17"/>
  <c r="AA88" i="16"/>
  <c r="AF14" i="16" s="1"/>
  <c r="V65" i="35"/>
  <c r="R65" i="34"/>
  <c r="Z65" i="34"/>
  <c r="U33" i="36"/>
  <c r="I28" i="35"/>
  <c r="Z34" i="30"/>
  <c r="X34" i="31"/>
  <c r="Y34" i="31" s="1"/>
  <c r="U37" i="34"/>
  <c r="I32" i="33"/>
  <c r="T17" i="36"/>
  <c r="H12" i="35"/>
  <c r="H28" i="38"/>
  <c r="T33" i="39"/>
  <c r="H28" i="39" s="1"/>
  <c r="X57" i="33"/>
  <c r="Y57" i="33" s="1"/>
  <c r="Z57" i="32"/>
  <c r="T64" i="33"/>
  <c r="H59" i="32"/>
  <c r="X30" i="30"/>
  <c r="Y30" i="30" s="1"/>
  <c r="Z30" i="29"/>
  <c r="I13" i="38"/>
  <c r="U18" i="39"/>
  <c r="U27" i="35"/>
  <c r="I22" i="34"/>
  <c r="U51" i="34"/>
  <c r="I46" i="33"/>
  <c r="V36" i="35"/>
  <c r="R36" i="34"/>
  <c r="U49" i="38"/>
  <c r="I44" i="37"/>
  <c r="T15" i="35"/>
  <c r="H10" i="34"/>
  <c r="X72" i="48"/>
  <c r="Y72" i="48" s="1"/>
  <c r="AA77" i="47"/>
  <c r="AA79" i="47" s="1"/>
  <c r="T25" i="36"/>
  <c r="H20" i="35"/>
  <c r="V66" i="35"/>
  <c r="R66" i="34"/>
  <c r="X52" i="31"/>
  <c r="Y52" i="31" s="1"/>
  <c r="Z52" i="30"/>
  <c r="U43" i="35"/>
  <c r="I38" i="34"/>
  <c r="I20" i="36"/>
  <c r="U25" i="37"/>
  <c r="U65" i="33"/>
  <c r="I60" i="32"/>
  <c r="I18" i="38"/>
  <c r="U23" i="39"/>
  <c r="Z25" i="29"/>
  <c r="X25" i="30"/>
  <c r="Y25" i="30" s="1"/>
  <c r="H47" i="34"/>
  <c r="T52" i="35"/>
  <c r="T30" i="32"/>
  <c r="H25" i="31"/>
  <c r="V72" i="33"/>
  <c r="R68" i="33"/>
  <c r="U74" i="33"/>
  <c r="U73" i="33"/>
  <c r="AA81" i="46"/>
  <c r="AF16" i="46" s="1"/>
  <c r="AA80" i="47"/>
  <c r="X33" i="30"/>
  <c r="Y33" i="30" s="1"/>
  <c r="Z33" i="29"/>
  <c r="U42" i="36"/>
  <c r="I37" i="35"/>
  <c r="X27" i="31"/>
  <c r="Y27" i="31" s="1"/>
  <c r="Z27" i="30"/>
  <c r="H9" i="37"/>
  <c r="T14" i="38"/>
  <c r="X51" i="32"/>
  <c r="Y51" i="32" s="1"/>
  <c r="Z51" i="31"/>
  <c r="T54" i="34"/>
  <c r="H49" i="33"/>
  <c r="Z15" i="29"/>
  <c r="X15" i="30"/>
  <c r="Y15" i="30" s="1"/>
  <c r="X49" i="33"/>
  <c r="Y49" i="33" s="1"/>
  <c r="Z49" i="32"/>
  <c r="X17" i="30"/>
  <c r="Y17" i="30" s="1"/>
  <c r="Z17" i="29"/>
  <c r="Z50" i="29"/>
  <c r="X50" i="30"/>
  <c r="Y50" i="30" s="1"/>
  <c r="X63" i="30"/>
  <c r="Y63" i="30" s="1"/>
  <c r="Z63" i="29"/>
  <c r="Z40" i="29"/>
  <c r="X40" i="30"/>
  <c r="Y40" i="30" s="1"/>
  <c r="U35" i="35"/>
  <c r="I30" i="34"/>
  <c r="H36" i="38"/>
  <c r="T41" i="39"/>
  <c r="H36" i="39" s="1"/>
  <c r="X55" i="32"/>
  <c r="Y55" i="32" s="1"/>
  <c r="Z55" i="31"/>
  <c r="H22" i="30"/>
  <c r="T27" i="31"/>
  <c r="T34" i="33"/>
  <c r="H29" i="32"/>
  <c r="U21" i="34"/>
  <c r="I16" i="33"/>
  <c r="Z43" i="31"/>
  <c r="X43" i="32"/>
  <c r="Y43" i="32" s="1"/>
  <c r="Z64" i="29"/>
  <c r="X64" i="30"/>
  <c r="Y64" i="30" s="1"/>
  <c r="I33" i="37"/>
  <c r="U38" i="38"/>
  <c r="Z18" i="31"/>
  <c r="X18" i="32"/>
  <c r="Y18" i="32" s="1"/>
  <c r="U17" i="36"/>
  <c r="I12" i="35"/>
  <c r="Z35" i="30"/>
  <c r="X35" i="31"/>
  <c r="Y35" i="31" s="1"/>
  <c r="V49" i="35"/>
  <c r="R49" i="34"/>
  <c r="U41" i="34"/>
  <c r="I36" i="33"/>
  <c r="T43" i="38"/>
  <c r="H38" i="37"/>
  <c r="R12" i="50"/>
  <c r="V12" i="51"/>
  <c r="U53" i="35"/>
  <c r="I48" i="34"/>
  <c r="T40" i="32"/>
  <c r="H35" i="31"/>
  <c r="X60" i="31"/>
  <c r="Y60" i="31" s="1"/>
  <c r="Z60" i="30"/>
  <c r="X36" i="32"/>
  <c r="Y36" i="32" s="1"/>
  <c r="Z36" i="31"/>
  <c r="Z32" i="34"/>
  <c r="X32" i="35"/>
  <c r="Y32" i="35" s="1"/>
  <c r="T20" i="37"/>
  <c r="H15" i="36"/>
  <c r="Z19" i="31"/>
  <c r="X19" i="32"/>
  <c r="Y19" i="32" s="1"/>
  <c r="Z38" i="29"/>
  <c r="X38" i="30"/>
  <c r="Y38" i="30" s="1"/>
  <c r="U61" i="35"/>
  <c r="I56" i="34"/>
  <c r="T44" i="35"/>
  <c r="H39" i="34"/>
  <c r="V70" i="32"/>
  <c r="U72" i="32"/>
  <c r="Z72" i="32"/>
  <c r="T49" i="36"/>
  <c r="H44" i="35"/>
  <c r="X28" i="32"/>
  <c r="Y28" i="32" s="1"/>
  <c r="Z28" i="31"/>
  <c r="I50" i="32"/>
  <c r="U55" i="33"/>
  <c r="U52" i="39"/>
  <c r="I47" i="38"/>
  <c r="Z31" i="32"/>
  <c r="X31" i="33"/>
  <c r="Y31" i="33" s="1"/>
  <c r="T26" i="33"/>
  <c r="H21" i="32"/>
  <c r="V28" i="56"/>
  <c r="R28" i="55"/>
  <c r="Z26" i="35"/>
  <c r="X26" i="36"/>
  <c r="Y26" i="36" s="1"/>
  <c r="Z23" i="29"/>
  <c r="X23" i="30"/>
  <c r="Y23" i="30" s="1"/>
  <c r="H31" i="36"/>
  <c r="T36" i="37"/>
  <c r="V60" i="35"/>
  <c r="R60" i="34"/>
  <c r="U57" i="38"/>
  <c r="I52" i="37"/>
  <c r="T37" i="33"/>
  <c r="H32" i="32"/>
  <c r="U63" i="33"/>
  <c r="I58" i="32"/>
  <c r="X54" i="32"/>
  <c r="Y54" i="32" s="1"/>
  <c r="Z54" i="31"/>
  <c r="T53" i="34"/>
  <c r="H48" i="33"/>
  <c r="R32" i="51" l="1"/>
  <c r="V32" i="52"/>
  <c r="V54" i="52"/>
  <c r="R54" i="51"/>
  <c r="R43" i="52"/>
  <c r="V43" i="53"/>
  <c r="V39" i="53"/>
  <c r="R39" i="52"/>
  <c r="V37" i="52"/>
  <c r="R37" i="51"/>
  <c r="R21" i="51"/>
  <c r="V21" i="52"/>
  <c r="R15" i="54"/>
  <c r="V15" i="55"/>
  <c r="V64" i="52"/>
  <c r="R64" i="51"/>
  <c r="U16" i="52"/>
  <c r="I11" i="51"/>
  <c r="V27" i="54"/>
  <c r="R27" i="53"/>
  <c r="R14" i="51"/>
  <c r="V14" i="52"/>
  <c r="V51" i="57"/>
  <c r="R51" i="57" s="1"/>
  <c r="R51" i="56"/>
  <c r="R34" i="56"/>
  <c r="V34" i="57"/>
  <c r="R34" i="57" s="1"/>
  <c r="I55" i="51"/>
  <c r="U60" i="52"/>
  <c r="V18" i="54"/>
  <c r="R18" i="53"/>
  <c r="V16" i="52"/>
  <c r="R16" i="51"/>
  <c r="U32" i="52"/>
  <c r="I27" i="51"/>
  <c r="Z51" i="32"/>
  <c r="X51" i="33"/>
  <c r="Y51" i="33" s="1"/>
  <c r="H10" i="35"/>
  <c r="T15" i="36"/>
  <c r="V73" i="48"/>
  <c r="Z73" i="47"/>
  <c r="T27" i="32"/>
  <c r="H22" i="31"/>
  <c r="I22" i="35"/>
  <c r="U27" i="36"/>
  <c r="U28" i="36"/>
  <c r="I23" i="35"/>
  <c r="V56" i="36"/>
  <c r="R56" i="35"/>
  <c r="T37" i="34"/>
  <c r="H32" i="33"/>
  <c r="T43" i="39"/>
  <c r="H38" i="39" s="1"/>
  <c r="H38" i="38"/>
  <c r="U18" i="40"/>
  <c r="I13" i="39"/>
  <c r="Z61" i="31"/>
  <c r="X61" i="32"/>
  <c r="Y61" i="32" s="1"/>
  <c r="R68" i="34"/>
  <c r="V72" i="34"/>
  <c r="U74" i="34"/>
  <c r="U73" i="34"/>
  <c r="T26" i="34"/>
  <c r="H21" i="33"/>
  <c r="X28" i="33"/>
  <c r="Y28" i="33" s="1"/>
  <c r="Z28" i="32"/>
  <c r="X32" i="36"/>
  <c r="Y32" i="36" s="1"/>
  <c r="Z32" i="35"/>
  <c r="Z43" i="32"/>
  <c r="X43" i="33"/>
  <c r="Y43" i="33" s="1"/>
  <c r="Z15" i="30"/>
  <c r="X15" i="31"/>
  <c r="Y15" i="31" s="1"/>
  <c r="X25" i="31"/>
  <c r="Y25" i="31" s="1"/>
  <c r="Z25" i="30"/>
  <c r="T25" i="37"/>
  <c r="H20" i="36"/>
  <c r="I28" i="36"/>
  <c r="U33" i="37"/>
  <c r="T12" i="37"/>
  <c r="H7" i="36"/>
  <c r="V17" i="55"/>
  <c r="R17" i="54"/>
  <c r="I21" i="49"/>
  <c r="U26" i="50"/>
  <c r="X29" i="31"/>
  <c r="Y29" i="31" s="1"/>
  <c r="Z29" i="30"/>
  <c r="X14" i="31"/>
  <c r="Y14" i="31" s="1"/>
  <c r="Z14" i="30"/>
  <c r="X42" i="36"/>
  <c r="Y42" i="36" s="1"/>
  <c r="Z42" i="35"/>
  <c r="X37" i="31"/>
  <c r="Y37" i="31" s="1"/>
  <c r="Z37" i="30"/>
  <c r="U63" i="34"/>
  <c r="I58" i="33"/>
  <c r="U55" i="34"/>
  <c r="I50" i="33"/>
  <c r="T30" i="33"/>
  <c r="H25" i="32"/>
  <c r="X40" i="31"/>
  <c r="Y40" i="31" s="1"/>
  <c r="Z40" i="30"/>
  <c r="I20" i="37"/>
  <c r="U25" i="38"/>
  <c r="T60" i="36"/>
  <c r="H55" i="35"/>
  <c r="Z23" i="30"/>
  <c r="X23" i="31"/>
  <c r="Y23" i="31" s="1"/>
  <c r="T20" i="38"/>
  <c r="H15" i="37"/>
  <c r="T21" i="34"/>
  <c r="H16" i="33"/>
  <c r="U31" i="36"/>
  <c r="I26" i="35"/>
  <c r="X22" i="31"/>
  <c r="Y22" i="31" s="1"/>
  <c r="Z22" i="30"/>
  <c r="T53" i="35"/>
  <c r="H48" i="34"/>
  <c r="I52" i="38"/>
  <c r="U57" i="39"/>
  <c r="Z31" i="33"/>
  <c r="X31" i="34"/>
  <c r="Y31" i="34" s="1"/>
  <c r="I56" i="35"/>
  <c r="U61" i="36"/>
  <c r="I48" i="35"/>
  <c r="U53" i="36"/>
  <c r="I36" i="34"/>
  <c r="U41" i="35"/>
  <c r="I12" i="36"/>
  <c r="U17" i="37"/>
  <c r="X55" i="33"/>
  <c r="Y55" i="33" s="1"/>
  <c r="Z55" i="32"/>
  <c r="X63" i="31"/>
  <c r="Y63" i="31" s="1"/>
  <c r="Z63" i="30"/>
  <c r="Z27" i="31"/>
  <c r="X27" i="32"/>
  <c r="Y27" i="32" s="1"/>
  <c r="I38" i="35"/>
  <c r="U43" i="36"/>
  <c r="X58" i="31"/>
  <c r="Y58" i="31" s="1"/>
  <c r="Z58" i="30"/>
  <c r="V59" i="36"/>
  <c r="R59" i="35"/>
  <c r="V67" i="36"/>
  <c r="R67" i="35"/>
  <c r="Z67" i="35"/>
  <c r="T13" i="34"/>
  <c r="H8" i="33"/>
  <c r="Y70" i="17"/>
  <c r="AA84" i="17"/>
  <c r="AA86" i="17" s="1"/>
  <c r="AA88" i="17" s="1"/>
  <c r="AF14" i="17" s="1"/>
  <c r="V78" i="17"/>
  <c r="V79" i="17" s="1"/>
  <c r="U29" i="35"/>
  <c r="I24" i="34"/>
  <c r="Z12" i="20"/>
  <c r="X12" i="21"/>
  <c r="V33" i="50"/>
  <c r="R33" i="49"/>
  <c r="V29" i="36"/>
  <c r="R29" i="35"/>
  <c r="V68" i="35"/>
  <c r="T34" i="34"/>
  <c r="H29" i="33"/>
  <c r="X33" i="31"/>
  <c r="Y33" i="31" s="1"/>
  <c r="Z33" i="30"/>
  <c r="Z39" i="32"/>
  <c r="X39" i="33"/>
  <c r="Y39" i="33" s="1"/>
  <c r="X53" i="32"/>
  <c r="Y53" i="32" s="1"/>
  <c r="Z53" i="31"/>
  <c r="V28" i="57"/>
  <c r="R28" i="56"/>
  <c r="Z35" i="31"/>
  <c r="X35" i="32"/>
  <c r="Y35" i="32" s="1"/>
  <c r="Z57" i="33"/>
  <c r="X57" i="34"/>
  <c r="Y57" i="34" s="1"/>
  <c r="T40" i="33"/>
  <c r="H35" i="32"/>
  <c r="X49" i="34"/>
  <c r="Y49" i="34" s="1"/>
  <c r="Z49" i="33"/>
  <c r="V58" i="36"/>
  <c r="R58" i="35"/>
  <c r="X38" i="31"/>
  <c r="Y38" i="31" s="1"/>
  <c r="Z38" i="30"/>
  <c r="U23" i="40"/>
  <c r="I18" i="39"/>
  <c r="AA81" i="47"/>
  <c r="AF16" i="47" s="1"/>
  <c r="AA80" i="48"/>
  <c r="V36" i="36"/>
  <c r="R36" i="35"/>
  <c r="Z30" i="30"/>
  <c r="X30" i="31"/>
  <c r="Y30" i="31" s="1"/>
  <c r="T17" i="37"/>
  <c r="H12" i="36"/>
  <c r="T23" i="35"/>
  <c r="H18" i="34"/>
  <c r="T28" i="38"/>
  <c r="H23" i="37"/>
  <c r="Z20" i="37"/>
  <c r="X20" i="38"/>
  <c r="Y20" i="38" s="1"/>
  <c r="I61" i="39"/>
  <c r="U66" i="40"/>
  <c r="T50" i="36"/>
  <c r="H45" i="35"/>
  <c r="H17" i="38"/>
  <c r="T22" i="39"/>
  <c r="H17" i="39" s="1"/>
  <c r="X17" i="31"/>
  <c r="Y17" i="31" s="1"/>
  <c r="Z17" i="30"/>
  <c r="I60" i="33"/>
  <c r="U65" i="34"/>
  <c r="Z62" i="32"/>
  <c r="X62" i="33"/>
  <c r="Y62" i="33" s="1"/>
  <c r="T14" i="39"/>
  <c r="H9" i="39" s="1"/>
  <c r="H9" i="38"/>
  <c r="V66" i="36"/>
  <c r="R66" i="35"/>
  <c r="V42" i="48"/>
  <c r="R42" i="47"/>
  <c r="X59" i="32"/>
  <c r="Y59" i="32" s="1"/>
  <c r="Z59" i="31"/>
  <c r="T44" i="36"/>
  <c r="H39" i="35"/>
  <c r="I44" i="38"/>
  <c r="U49" i="39"/>
  <c r="X56" i="31"/>
  <c r="Y56" i="31" s="1"/>
  <c r="Z56" i="30"/>
  <c r="Z26" i="36"/>
  <c r="X26" i="37"/>
  <c r="Y26" i="37" s="1"/>
  <c r="Z18" i="32"/>
  <c r="X18" i="33"/>
  <c r="Y18" i="33" s="1"/>
  <c r="Z50" i="30"/>
  <c r="X50" i="31"/>
  <c r="Y50" i="31" s="1"/>
  <c r="Z54" i="32"/>
  <c r="X54" i="33"/>
  <c r="Y54" i="33" s="1"/>
  <c r="X36" i="33"/>
  <c r="Y36" i="33" s="1"/>
  <c r="Z36" i="32"/>
  <c r="R12" i="51"/>
  <c r="V12" i="52"/>
  <c r="U21" i="35"/>
  <c r="I16" i="34"/>
  <c r="T54" i="35"/>
  <c r="H49" i="34"/>
  <c r="I37" i="36"/>
  <c r="U42" i="37"/>
  <c r="U72" i="33"/>
  <c r="V70" i="33"/>
  <c r="Z72" i="33"/>
  <c r="Z52" i="31"/>
  <c r="X52" i="32"/>
  <c r="Y52" i="32" s="1"/>
  <c r="X72" i="49"/>
  <c r="Y72" i="49" s="1"/>
  <c r="AA77" i="48"/>
  <c r="AA79" i="48" s="1"/>
  <c r="V65" i="36"/>
  <c r="R65" i="35"/>
  <c r="Z65" i="35"/>
  <c r="H27" i="31"/>
  <c r="T32" i="32"/>
  <c r="X66" i="31"/>
  <c r="Y66" i="31" s="1"/>
  <c r="Z66" i="30"/>
  <c r="X13" i="19"/>
  <c r="Z13" i="18"/>
  <c r="Z68" i="18" s="1"/>
  <c r="Z74" i="18" s="1"/>
  <c r="Z70" i="18" s="1"/>
  <c r="Y68" i="18"/>
  <c r="Z24" i="33"/>
  <c r="X24" i="34"/>
  <c r="Y24" i="34" s="1"/>
  <c r="H30" i="38"/>
  <c r="T35" i="39"/>
  <c r="H30" i="39" s="1"/>
  <c r="T16" i="33"/>
  <c r="H11" i="32"/>
  <c r="Z16" i="33"/>
  <c r="X16" i="34"/>
  <c r="Y16" i="34" s="1"/>
  <c r="T36" i="38"/>
  <c r="H31" i="37"/>
  <c r="X60" i="32"/>
  <c r="Y60" i="32" s="1"/>
  <c r="Z60" i="31"/>
  <c r="I30" i="35"/>
  <c r="U35" i="36"/>
  <c r="Z34" i="31"/>
  <c r="X34" i="32"/>
  <c r="Y34" i="32" s="1"/>
  <c r="U19" i="35"/>
  <c r="I14" i="34"/>
  <c r="H51" i="33"/>
  <c r="T56" i="34"/>
  <c r="X64" i="31"/>
  <c r="Y64" i="31" s="1"/>
  <c r="Z64" i="30"/>
  <c r="T52" i="36"/>
  <c r="H47" i="35"/>
  <c r="I34" i="39"/>
  <c r="U39" i="40"/>
  <c r="Z41" i="31"/>
  <c r="X41" i="32"/>
  <c r="Y41" i="32" s="1"/>
  <c r="T49" i="37"/>
  <c r="H44" i="36"/>
  <c r="V60" i="36"/>
  <c r="R60" i="35"/>
  <c r="U52" i="40"/>
  <c r="I47" i="39"/>
  <c r="X19" i="33"/>
  <c r="Y19" i="33" s="1"/>
  <c r="Z19" i="32"/>
  <c r="V49" i="36"/>
  <c r="R49" i="35"/>
  <c r="I33" i="38"/>
  <c r="U38" i="39"/>
  <c r="U51" i="35"/>
  <c r="I46" i="34"/>
  <c r="H59" i="33"/>
  <c r="T64" i="34"/>
  <c r="U37" i="35"/>
  <c r="I32" i="34"/>
  <c r="H46" i="34"/>
  <c r="T51" i="35"/>
  <c r="Z44" i="31"/>
  <c r="X44" i="32"/>
  <c r="Y44" i="32" s="1"/>
  <c r="T38" i="39"/>
  <c r="H33" i="39" s="1"/>
  <c r="H33" i="38"/>
  <c r="H13" i="35"/>
  <c r="T18" i="36"/>
  <c r="U15" i="36"/>
  <c r="I10" i="35"/>
  <c r="H26" i="35"/>
  <c r="T31" i="36"/>
  <c r="I62" i="34"/>
  <c r="U67" i="35"/>
  <c r="V63" i="36"/>
  <c r="R63" i="35"/>
  <c r="U59" i="46"/>
  <c r="I54" i="40"/>
  <c r="Z21" i="32"/>
  <c r="X21" i="33"/>
  <c r="Y21" i="33" s="1"/>
  <c r="V16" i="53" l="1"/>
  <c r="R16" i="52"/>
  <c r="V64" i="53"/>
  <c r="R64" i="52"/>
  <c r="V39" i="54"/>
  <c r="R39" i="53"/>
  <c r="V14" i="53"/>
  <c r="R14" i="52"/>
  <c r="R15" i="55"/>
  <c r="V15" i="56"/>
  <c r="V43" i="54"/>
  <c r="R43" i="53"/>
  <c r="V18" i="55"/>
  <c r="R18" i="54"/>
  <c r="U60" i="53"/>
  <c r="I55" i="52"/>
  <c r="R21" i="52"/>
  <c r="V21" i="53"/>
  <c r="V27" i="55"/>
  <c r="R27" i="54"/>
  <c r="V54" i="53"/>
  <c r="R54" i="52"/>
  <c r="R32" i="52"/>
  <c r="V32" i="53"/>
  <c r="U32" i="53"/>
  <c r="I27" i="52"/>
  <c r="I11" i="52"/>
  <c r="U16" i="53"/>
  <c r="V37" i="53"/>
  <c r="R37" i="52"/>
  <c r="Z44" i="32"/>
  <c r="X44" i="33"/>
  <c r="Y44" i="33" s="1"/>
  <c r="X66" i="32"/>
  <c r="Y66" i="32" s="1"/>
  <c r="Z66" i="31"/>
  <c r="V72" i="35"/>
  <c r="R68" i="35"/>
  <c r="U74" i="35"/>
  <c r="U73" i="35"/>
  <c r="T13" i="35"/>
  <c r="H8" i="34"/>
  <c r="X42" i="37"/>
  <c r="Y42" i="37" s="1"/>
  <c r="Z42" i="36"/>
  <c r="Z61" i="32"/>
  <c r="X61" i="33"/>
  <c r="Y61" i="33" s="1"/>
  <c r="T27" i="33"/>
  <c r="H22" i="32"/>
  <c r="I46" i="35"/>
  <c r="U51" i="36"/>
  <c r="X60" i="33"/>
  <c r="Y60" i="33" s="1"/>
  <c r="Z60" i="32"/>
  <c r="T32" i="33"/>
  <c r="H27" i="32"/>
  <c r="X52" i="33"/>
  <c r="Y52" i="33" s="1"/>
  <c r="Z52" i="32"/>
  <c r="T54" i="36"/>
  <c r="H49" i="35"/>
  <c r="X36" i="34"/>
  <c r="Y36" i="34" s="1"/>
  <c r="Z36" i="33"/>
  <c r="X26" i="38"/>
  <c r="Y26" i="38" s="1"/>
  <c r="Z26" i="37"/>
  <c r="X38" i="32"/>
  <c r="Y38" i="32" s="1"/>
  <c r="Z38" i="31"/>
  <c r="X57" i="35"/>
  <c r="Y57" i="35" s="1"/>
  <c r="Z57" i="34"/>
  <c r="Z53" i="32"/>
  <c r="X53" i="33"/>
  <c r="Y53" i="33" s="1"/>
  <c r="I38" i="36"/>
  <c r="U43" i="37"/>
  <c r="U17" i="38"/>
  <c r="I12" i="37"/>
  <c r="X31" i="35"/>
  <c r="Y31" i="35" s="1"/>
  <c r="Z31" i="34"/>
  <c r="V17" i="56"/>
  <c r="R17" i="55"/>
  <c r="Z25" i="31"/>
  <c r="X25" i="32"/>
  <c r="Y25" i="32" s="1"/>
  <c r="X28" i="34"/>
  <c r="Y28" i="34" s="1"/>
  <c r="Z28" i="33"/>
  <c r="V66" i="37"/>
  <c r="R66" i="36"/>
  <c r="U38" i="40"/>
  <c r="I33" i="39"/>
  <c r="T60" i="37"/>
  <c r="H55" i="36"/>
  <c r="X14" i="32"/>
  <c r="Y14" i="32" s="1"/>
  <c r="Z14" i="31"/>
  <c r="Z15" i="31"/>
  <c r="X15" i="32"/>
  <c r="Y15" i="32" s="1"/>
  <c r="V56" i="37"/>
  <c r="R56" i="36"/>
  <c r="U15" i="37"/>
  <c r="I10" i="36"/>
  <c r="I14" i="35"/>
  <c r="U19" i="36"/>
  <c r="H31" i="38"/>
  <c r="T36" i="39"/>
  <c r="H31" i="39" s="1"/>
  <c r="I16" i="35"/>
  <c r="U21" i="36"/>
  <c r="X54" i="34"/>
  <c r="Y54" i="34" s="1"/>
  <c r="Z54" i="33"/>
  <c r="X62" i="34"/>
  <c r="Y62" i="34" s="1"/>
  <c r="Z62" i="33"/>
  <c r="V36" i="37"/>
  <c r="R36" i="36"/>
  <c r="Z35" i="32"/>
  <c r="X35" i="33"/>
  <c r="Y35" i="33" s="1"/>
  <c r="V29" i="37"/>
  <c r="R29" i="36"/>
  <c r="V68" i="36"/>
  <c r="I24" i="35"/>
  <c r="U29" i="36"/>
  <c r="V67" i="37"/>
  <c r="R67" i="36"/>
  <c r="Z67" i="36"/>
  <c r="X27" i="33"/>
  <c r="Y27" i="33" s="1"/>
  <c r="Z27" i="32"/>
  <c r="U41" i="36"/>
  <c r="I36" i="35"/>
  <c r="U57" i="40"/>
  <c r="I52" i="39"/>
  <c r="U25" i="39"/>
  <c r="I20" i="38"/>
  <c r="T12" i="38"/>
  <c r="H7" i="37"/>
  <c r="H21" i="34"/>
  <c r="T26" i="35"/>
  <c r="U18" i="46"/>
  <c r="I13" i="40"/>
  <c r="V73" i="49"/>
  <c r="Z73" i="48"/>
  <c r="T31" i="37"/>
  <c r="H26" i="36"/>
  <c r="T56" i="35"/>
  <c r="H51" i="34"/>
  <c r="T40" i="34"/>
  <c r="H35" i="33"/>
  <c r="X22" i="32"/>
  <c r="Y22" i="32" s="1"/>
  <c r="Z22" i="31"/>
  <c r="I34" i="40"/>
  <c r="U39" i="46"/>
  <c r="Z34" i="32"/>
  <c r="X34" i="33"/>
  <c r="Y34" i="33" s="1"/>
  <c r="Z16" i="34"/>
  <c r="X16" i="35"/>
  <c r="Y16" i="35" s="1"/>
  <c r="Y74" i="18"/>
  <c r="AG27" i="18"/>
  <c r="X56" i="32"/>
  <c r="Y56" i="32" s="1"/>
  <c r="Z56" i="31"/>
  <c r="H45" i="36"/>
  <c r="T50" i="37"/>
  <c r="H18" i="35"/>
  <c r="T23" i="36"/>
  <c r="V58" i="37"/>
  <c r="R58" i="36"/>
  <c r="T21" i="35"/>
  <c r="H16" i="34"/>
  <c r="U63" i="35"/>
  <c r="I58" i="34"/>
  <c r="X29" i="32"/>
  <c r="Y29" i="32" s="1"/>
  <c r="Z29" i="31"/>
  <c r="U33" i="38"/>
  <c r="I28" i="37"/>
  <c r="X43" i="34"/>
  <c r="Y43" i="34" s="1"/>
  <c r="Z43" i="33"/>
  <c r="U28" i="37"/>
  <c r="I23" i="36"/>
  <c r="T15" i="37"/>
  <c r="H10" i="36"/>
  <c r="X55" i="34"/>
  <c r="Y55" i="34" s="1"/>
  <c r="Z55" i="33"/>
  <c r="H46" i="35"/>
  <c r="T51" i="36"/>
  <c r="X24" i="35"/>
  <c r="Y24" i="35" s="1"/>
  <c r="Z24" i="34"/>
  <c r="T28" i="39"/>
  <c r="H23" i="39" s="1"/>
  <c r="H23" i="38"/>
  <c r="U55" i="35"/>
  <c r="I50" i="34"/>
  <c r="V60" i="37"/>
  <c r="R60" i="36"/>
  <c r="T52" i="37"/>
  <c r="H47" i="36"/>
  <c r="V65" i="37"/>
  <c r="R65" i="36"/>
  <c r="Z65" i="36"/>
  <c r="Z50" i="31"/>
  <c r="X50" i="32"/>
  <c r="Y50" i="32" s="1"/>
  <c r="U49" i="40"/>
  <c r="I44" i="39"/>
  <c r="V42" i="49"/>
  <c r="R42" i="48"/>
  <c r="I60" i="34"/>
  <c r="U65" i="35"/>
  <c r="I61" i="40"/>
  <c r="U66" i="46"/>
  <c r="X33" i="32"/>
  <c r="Y33" i="32" s="1"/>
  <c r="Z33" i="31"/>
  <c r="I48" i="36"/>
  <c r="U53" i="37"/>
  <c r="U26" i="51"/>
  <c r="I21" i="50"/>
  <c r="I22" i="36"/>
  <c r="U27" i="37"/>
  <c r="X19" i="34"/>
  <c r="Y19" i="34" s="1"/>
  <c r="Z19" i="33"/>
  <c r="X72" i="50"/>
  <c r="Y72" i="50" s="1"/>
  <c r="AA77" i="49"/>
  <c r="AA79" i="49" s="1"/>
  <c r="X17" i="32"/>
  <c r="Y17" i="32" s="1"/>
  <c r="Z17" i="31"/>
  <c r="T30" i="34"/>
  <c r="H25" i="33"/>
  <c r="U52" i="46"/>
  <c r="I47" i="40"/>
  <c r="Z39" i="33"/>
  <c r="X39" i="34"/>
  <c r="Y39" i="34" s="1"/>
  <c r="T18" i="37"/>
  <c r="H13" i="36"/>
  <c r="V63" i="37"/>
  <c r="R63" i="36"/>
  <c r="I32" i="35"/>
  <c r="U37" i="36"/>
  <c r="U67" i="36"/>
  <c r="I62" i="35"/>
  <c r="T64" i="35"/>
  <c r="H59" i="34"/>
  <c r="V49" i="37"/>
  <c r="R49" i="36"/>
  <c r="I30" i="36"/>
  <c r="U35" i="37"/>
  <c r="Y13" i="19"/>
  <c r="X68" i="19"/>
  <c r="X74" i="19" s="1"/>
  <c r="U42" i="38"/>
  <c r="I37" i="37"/>
  <c r="R12" i="52"/>
  <c r="V12" i="53"/>
  <c r="H12" i="37"/>
  <c r="T17" i="38"/>
  <c r="X49" i="35"/>
  <c r="Y49" i="35" s="1"/>
  <c r="Z49" i="34"/>
  <c r="V33" i="51"/>
  <c r="R33" i="50"/>
  <c r="V59" i="37"/>
  <c r="R59" i="36"/>
  <c r="X63" i="32"/>
  <c r="Y63" i="32" s="1"/>
  <c r="Z63" i="31"/>
  <c r="T53" i="36"/>
  <c r="H48" i="35"/>
  <c r="T20" i="39"/>
  <c r="H15" i="39" s="1"/>
  <c r="H15" i="38"/>
  <c r="X40" i="32"/>
  <c r="Y40" i="32" s="1"/>
  <c r="Z40" i="31"/>
  <c r="Z37" i="31"/>
  <c r="X37" i="32"/>
  <c r="Y37" i="32" s="1"/>
  <c r="V70" i="34"/>
  <c r="U72" i="34"/>
  <c r="Z72" i="34"/>
  <c r="X51" i="34"/>
  <c r="Y51" i="34" s="1"/>
  <c r="Z51" i="33"/>
  <c r="X41" i="33"/>
  <c r="Y41" i="33" s="1"/>
  <c r="Z41" i="32"/>
  <c r="H39" i="36"/>
  <c r="T44" i="37"/>
  <c r="X58" i="32"/>
  <c r="Y58" i="32" s="1"/>
  <c r="Z58" i="31"/>
  <c r="U59" i="47"/>
  <c r="I54" i="46"/>
  <c r="X59" i="33"/>
  <c r="Y59" i="33" s="1"/>
  <c r="Z59" i="32"/>
  <c r="U31" i="37"/>
  <c r="I26" i="36"/>
  <c r="Z21" i="33"/>
  <c r="X21" i="34"/>
  <c r="Y21" i="34" s="1"/>
  <c r="H44" i="37"/>
  <c r="T49" i="38"/>
  <c r="X64" i="32"/>
  <c r="Y64" i="32" s="1"/>
  <c r="Z64" i="31"/>
  <c r="T16" i="34"/>
  <c r="H11" i="33"/>
  <c r="AA81" i="48"/>
  <c r="AF16" i="48" s="1"/>
  <c r="AA80" i="49"/>
  <c r="Z18" i="33"/>
  <c r="X18" i="34"/>
  <c r="Y18" i="34" s="1"/>
  <c r="X20" i="39"/>
  <c r="Y20" i="39" s="1"/>
  <c r="Z20" i="38"/>
  <c r="Z30" i="31"/>
  <c r="X30" i="32"/>
  <c r="Y30" i="32" s="1"/>
  <c r="I18" i="40"/>
  <c r="U23" i="46"/>
  <c r="R28" i="57"/>
  <c r="T34" i="35"/>
  <c r="H29" i="34"/>
  <c r="Y12" i="21"/>
  <c r="I56" i="36"/>
  <c r="U61" i="37"/>
  <c r="Z23" i="31"/>
  <c r="X23" i="32"/>
  <c r="Y23" i="32" s="1"/>
  <c r="H20" i="37"/>
  <c r="T25" i="38"/>
  <c r="X32" i="37"/>
  <c r="Y32" i="37" s="1"/>
  <c r="Z32" i="36"/>
  <c r="T37" i="35"/>
  <c r="H32" i="34"/>
  <c r="I55" i="53" l="1"/>
  <c r="U60" i="54"/>
  <c r="R14" i="53"/>
  <c r="V14" i="54"/>
  <c r="V32" i="54"/>
  <c r="R32" i="53"/>
  <c r="V37" i="54"/>
  <c r="R37" i="53"/>
  <c r="R54" i="53"/>
  <c r="V54" i="54"/>
  <c r="V18" i="56"/>
  <c r="R18" i="55"/>
  <c r="R39" i="54"/>
  <c r="V39" i="55"/>
  <c r="I11" i="53"/>
  <c r="U16" i="54"/>
  <c r="V27" i="56"/>
  <c r="R27" i="55"/>
  <c r="R43" i="54"/>
  <c r="V43" i="55"/>
  <c r="R64" i="53"/>
  <c r="V64" i="54"/>
  <c r="R21" i="53"/>
  <c r="V21" i="54"/>
  <c r="V15" i="57"/>
  <c r="R15" i="57" s="1"/>
  <c r="R15" i="56"/>
  <c r="U32" i="54"/>
  <c r="I27" i="53"/>
  <c r="V16" i="54"/>
  <c r="R16" i="53"/>
  <c r="U42" i="39"/>
  <c r="I37" i="38"/>
  <c r="I22" i="37"/>
  <c r="U27" i="38"/>
  <c r="I58" i="35"/>
  <c r="U63" i="36"/>
  <c r="I52" i="40"/>
  <c r="U57" i="46"/>
  <c r="T26" i="36"/>
  <c r="H21" i="35"/>
  <c r="T27" i="34"/>
  <c r="H22" i="33"/>
  <c r="Z23" i="32"/>
  <c r="X23" i="33"/>
  <c r="Y23" i="33" s="1"/>
  <c r="H44" i="38"/>
  <c r="T49" i="39"/>
  <c r="H44" i="39" s="1"/>
  <c r="Z13" i="19"/>
  <c r="Z68" i="19" s="1"/>
  <c r="Z74" i="19" s="1"/>
  <c r="Z70" i="19" s="1"/>
  <c r="X13" i="20"/>
  <c r="Y68" i="19"/>
  <c r="T18" i="38"/>
  <c r="H13" i="37"/>
  <c r="X17" i="33"/>
  <c r="Y17" i="33" s="1"/>
  <c r="Z17" i="32"/>
  <c r="I60" i="35"/>
  <c r="U65" i="36"/>
  <c r="V60" i="38"/>
  <c r="R60" i="37"/>
  <c r="X43" i="35"/>
  <c r="Y43" i="35" s="1"/>
  <c r="Z43" i="34"/>
  <c r="T21" i="36"/>
  <c r="H16" i="35"/>
  <c r="U39" i="47"/>
  <c r="I34" i="46"/>
  <c r="I36" i="36"/>
  <c r="U41" i="37"/>
  <c r="U74" i="36"/>
  <c r="R68" i="36"/>
  <c r="V72" i="36"/>
  <c r="U73" i="36"/>
  <c r="V36" i="38"/>
  <c r="R36" i="37"/>
  <c r="V56" i="38"/>
  <c r="R56" i="37"/>
  <c r="U38" i="46"/>
  <c r="I33" i="40"/>
  <c r="Z61" i="33"/>
  <c r="X61" i="34"/>
  <c r="Y61" i="34" s="1"/>
  <c r="H20" i="38"/>
  <c r="T25" i="39"/>
  <c r="H20" i="39" s="1"/>
  <c r="U66" i="47"/>
  <c r="I61" i="46"/>
  <c r="U28" i="38"/>
  <c r="I23" i="37"/>
  <c r="Z34" i="33"/>
  <c r="X34" i="34"/>
  <c r="Y34" i="34" s="1"/>
  <c r="U29" i="37"/>
  <c r="I24" i="36"/>
  <c r="Z25" i="32"/>
  <c r="X25" i="33"/>
  <c r="Y25" i="33" s="1"/>
  <c r="T34" i="36"/>
  <c r="H29" i="35"/>
  <c r="X59" i="34"/>
  <c r="Y59" i="34" s="1"/>
  <c r="Z59" i="33"/>
  <c r="H12" i="38"/>
  <c r="T17" i="39"/>
  <c r="H12" i="39" s="1"/>
  <c r="H59" i="35"/>
  <c r="T64" i="36"/>
  <c r="X50" i="33"/>
  <c r="Y50" i="33" s="1"/>
  <c r="Z50" i="32"/>
  <c r="T51" i="37"/>
  <c r="H46" i="36"/>
  <c r="H51" i="35"/>
  <c r="T56" i="36"/>
  <c r="I38" i="37"/>
  <c r="U43" i="38"/>
  <c r="Z38" i="32"/>
  <c r="X38" i="33"/>
  <c r="Y38" i="33" s="1"/>
  <c r="X52" i="34"/>
  <c r="Y52" i="34" s="1"/>
  <c r="Z52" i="33"/>
  <c r="X18" i="35"/>
  <c r="Y18" i="35" s="1"/>
  <c r="Z18" i="34"/>
  <c r="Z40" i="32"/>
  <c r="X40" i="33"/>
  <c r="Y40" i="33" s="1"/>
  <c r="U59" i="48"/>
  <c r="I54" i="47"/>
  <c r="Z51" i="34"/>
  <c r="X51" i="35"/>
  <c r="Y51" i="35" s="1"/>
  <c r="V59" i="38"/>
  <c r="R59" i="37"/>
  <c r="I30" i="37"/>
  <c r="U35" i="38"/>
  <c r="U67" i="37"/>
  <c r="I62" i="36"/>
  <c r="X39" i="35"/>
  <c r="Y39" i="35" s="1"/>
  <c r="Z39" i="34"/>
  <c r="AA81" i="49"/>
  <c r="AF16" i="49" s="1"/>
  <c r="AA80" i="50"/>
  <c r="I21" i="51"/>
  <c r="U26" i="52"/>
  <c r="X56" i="33"/>
  <c r="Y56" i="33" s="1"/>
  <c r="Z56" i="32"/>
  <c r="T31" i="38"/>
  <c r="H26" i="37"/>
  <c r="X15" i="33"/>
  <c r="Y15" i="33" s="1"/>
  <c r="Z15" i="32"/>
  <c r="X26" i="39"/>
  <c r="Y26" i="39" s="1"/>
  <c r="Z26" i="38"/>
  <c r="T32" i="34"/>
  <c r="H27" i="33"/>
  <c r="V70" i="35"/>
  <c r="U72" i="35"/>
  <c r="Z72" i="35"/>
  <c r="X49" i="36"/>
  <c r="Y49" i="36" s="1"/>
  <c r="Z49" i="35"/>
  <c r="V63" i="38"/>
  <c r="R63" i="37"/>
  <c r="I44" i="40"/>
  <c r="U49" i="46"/>
  <c r="T50" i="38"/>
  <c r="H45" i="37"/>
  <c r="U18" i="47"/>
  <c r="I13" i="46"/>
  <c r="X64" i="33"/>
  <c r="Y64" i="33" s="1"/>
  <c r="Z64" i="32"/>
  <c r="I18" i="46"/>
  <c r="U23" i="47"/>
  <c r="X21" i="35"/>
  <c r="Y21" i="35" s="1"/>
  <c r="Z21" i="34"/>
  <c r="V12" i="54"/>
  <c r="R12" i="53"/>
  <c r="U37" i="37"/>
  <c r="I32" i="36"/>
  <c r="I48" i="37"/>
  <c r="U53" i="38"/>
  <c r="I50" i="35"/>
  <c r="U55" i="36"/>
  <c r="Z27" i="33"/>
  <c r="X27" i="34"/>
  <c r="Y27" i="34" s="1"/>
  <c r="Z62" i="34"/>
  <c r="X62" i="35"/>
  <c r="Y62" i="35" s="1"/>
  <c r="Z53" i="33"/>
  <c r="X53" i="34"/>
  <c r="Y53" i="34" s="1"/>
  <c r="X58" i="33"/>
  <c r="Y58" i="33" s="1"/>
  <c r="Z58" i="32"/>
  <c r="V65" i="38"/>
  <c r="R65" i="37"/>
  <c r="Z65" i="37"/>
  <c r="V58" i="38"/>
  <c r="R58" i="37"/>
  <c r="AA84" i="18"/>
  <c r="AA86" i="18" s="1"/>
  <c r="V78" i="18"/>
  <c r="V79" i="18" s="1"/>
  <c r="Y70" i="18"/>
  <c r="X22" i="33"/>
  <c r="Y22" i="33" s="1"/>
  <c r="Z22" i="32"/>
  <c r="V29" i="38"/>
  <c r="R29" i="37"/>
  <c r="V68" i="37"/>
  <c r="V66" i="38"/>
  <c r="R66" i="37"/>
  <c r="X36" i="35"/>
  <c r="Y36" i="35" s="1"/>
  <c r="Z36" i="34"/>
  <c r="X60" i="34"/>
  <c r="Y60" i="34" s="1"/>
  <c r="Z60" i="33"/>
  <c r="X42" i="38"/>
  <c r="Y42" i="38" s="1"/>
  <c r="Z42" i="37"/>
  <c r="X66" i="33"/>
  <c r="Y66" i="33" s="1"/>
  <c r="Z66" i="32"/>
  <c r="X63" i="33"/>
  <c r="Y63" i="33" s="1"/>
  <c r="Z63" i="32"/>
  <c r="T30" i="35"/>
  <c r="H25" i="34"/>
  <c r="Z24" i="35"/>
  <c r="X24" i="36"/>
  <c r="Y24" i="36" s="1"/>
  <c r="H55" i="37"/>
  <c r="T60" i="38"/>
  <c r="U17" i="39"/>
  <c r="I12" i="38"/>
  <c r="Z20" i="39"/>
  <c r="X20" i="40"/>
  <c r="Y20" i="40" s="1"/>
  <c r="X41" i="34"/>
  <c r="Y41" i="34" s="1"/>
  <c r="Z41" i="33"/>
  <c r="I56" i="37"/>
  <c r="U61" i="38"/>
  <c r="AA77" i="50"/>
  <c r="AA79" i="50" s="1"/>
  <c r="X72" i="51"/>
  <c r="Y72" i="51" s="1"/>
  <c r="H7" i="38"/>
  <c r="T12" i="39"/>
  <c r="T37" i="36"/>
  <c r="H32" i="35"/>
  <c r="X12" i="22"/>
  <c r="Z12" i="21"/>
  <c r="X30" i="33"/>
  <c r="Y30" i="33" s="1"/>
  <c r="Z30" i="32"/>
  <c r="T44" i="38"/>
  <c r="H39" i="37"/>
  <c r="T53" i="37"/>
  <c r="H48" i="36"/>
  <c r="V33" i="52"/>
  <c r="R33" i="51"/>
  <c r="U52" i="47"/>
  <c r="I47" i="46"/>
  <c r="R42" i="49"/>
  <c r="V42" i="50"/>
  <c r="T15" i="38"/>
  <c r="H10" i="37"/>
  <c r="X29" i="33"/>
  <c r="Y29" i="33" s="1"/>
  <c r="Z29" i="32"/>
  <c r="T23" i="37"/>
  <c r="H18" i="36"/>
  <c r="Z16" i="35"/>
  <c r="X16" i="36"/>
  <c r="Y16" i="36" s="1"/>
  <c r="V73" i="50"/>
  <c r="Z73" i="49"/>
  <c r="U25" i="40"/>
  <c r="I20" i="39"/>
  <c r="X35" i="34"/>
  <c r="Y35" i="34" s="1"/>
  <c r="Z35" i="33"/>
  <c r="X54" i="35"/>
  <c r="Y54" i="35" s="1"/>
  <c r="Z54" i="34"/>
  <c r="X14" i="33"/>
  <c r="Y14" i="33" s="1"/>
  <c r="Z14" i="32"/>
  <c r="X31" i="36"/>
  <c r="Y31" i="36" s="1"/>
  <c r="Z31" i="35"/>
  <c r="I46" i="36"/>
  <c r="U51" i="37"/>
  <c r="Z44" i="33"/>
  <c r="X44" i="34"/>
  <c r="Y44" i="34" s="1"/>
  <c r="X55" i="35"/>
  <c r="Y55" i="35" s="1"/>
  <c r="Z55" i="34"/>
  <c r="U33" i="39"/>
  <c r="I28" i="38"/>
  <c r="I14" i="36"/>
  <c r="U19" i="37"/>
  <c r="V17" i="57"/>
  <c r="R17" i="56"/>
  <c r="Z32" i="37"/>
  <c r="X32" i="38"/>
  <c r="Y32" i="38" s="1"/>
  <c r="T16" i="35"/>
  <c r="H11" i="34"/>
  <c r="U31" i="38"/>
  <c r="I26" i="37"/>
  <c r="X37" i="33"/>
  <c r="Y37" i="33" s="1"/>
  <c r="Z37" i="32"/>
  <c r="V49" i="38"/>
  <c r="R49" i="37"/>
  <c r="Z19" i="34"/>
  <c r="X19" i="35"/>
  <c r="Y19" i="35" s="1"/>
  <c r="X33" i="33"/>
  <c r="Y33" i="33" s="1"/>
  <c r="Z33" i="32"/>
  <c r="H47" i="37"/>
  <c r="T52" i="38"/>
  <c r="T40" i="35"/>
  <c r="H35" i="34"/>
  <c r="V67" i="38"/>
  <c r="R67" i="37"/>
  <c r="Z67" i="37"/>
  <c r="U21" i="37"/>
  <c r="I16" i="36"/>
  <c r="U15" i="38"/>
  <c r="I10" i="37"/>
  <c r="X28" i="35"/>
  <c r="Y28" i="35" s="1"/>
  <c r="Z28" i="34"/>
  <c r="Z57" i="35"/>
  <c r="X57" i="36"/>
  <c r="Y57" i="36" s="1"/>
  <c r="H49" i="36"/>
  <c r="T54" i="37"/>
  <c r="T13" i="36"/>
  <c r="H8" i="35"/>
  <c r="V64" i="55" l="1"/>
  <c r="R64" i="54"/>
  <c r="R39" i="55"/>
  <c r="V39" i="56"/>
  <c r="I11" i="54"/>
  <c r="U16" i="55"/>
  <c r="V16" i="55"/>
  <c r="R16" i="54"/>
  <c r="R32" i="54"/>
  <c r="V32" i="55"/>
  <c r="V43" i="56"/>
  <c r="R43" i="55"/>
  <c r="R14" i="54"/>
  <c r="V14" i="55"/>
  <c r="R21" i="54"/>
  <c r="V21" i="55"/>
  <c r="V37" i="55"/>
  <c r="R37" i="54"/>
  <c r="I27" i="54"/>
  <c r="U32" i="55"/>
  <c r="V18" i="57"/>
  <c r="R18" i="57" s="1"/>
  <c r="R18" i="56"/>
  <c r="V54" i="55"/>
  <c r="R54" i="54"/>
  <c r="U60" i="55"/>
  <c r="I55" i="54"/>
  <c r="R27" i="56"/>
  <c r="V27" i="57"/>
  <c r="R27" i="57" s="1"/>
  <c r="X35" i="35"/>
  <c r="Y35" i="35" s="1"/>
  <c r="Z35" i="34"/>
  <c r="X56" i="34"/>
  <c r="Y56" i="34" s="1"/>
  <c r="Z56" i="33"/>
  <c r="Z38" i="33"/>
  <c r="X38" i="34"/>
  <c r="Y38" i="34" s="1"/>
  <c r="U57" i="47"/>
  <c r="I52" i="46"/>
  <c r="T23" i="38"/>
  <c r="H18" i="37"/>
  <c r="T12" i="55"/>
  <c r="H7" i="55" s="1"/>
  <c r="T12" i="51"/>
  <c r="H7" i="51" s="1"/>
  <c r="T12" i="40"/>
  <c r="H7" i="40" s="1"/>
  <c r="T12" i="54"/>
  <c r="H7" i="54" s="1"/>
  <c r="T12" i="50"/>
  <c r="H7" i="50" s="1"/>
  <c r="T12" i="48"/>
  <c r="H7" i="48" s="1"/>
  <c r="T12" i="56"/>
  <c r="H7" i="56" s="1"/>
  <c r="T12" i="49"/>
  <c r="H7" i="49" s="1"/>
  <c r="T12" i="47"/>
  <c r="H7" i="47" s="1"/>
  <c r="T12" i="52"/>
  <c r="H7" i="52" s="1"/>
  <c r="T12" i="46"/>
  <c r="H7" i="46" s="1"/>
  <c r="T12" i="53"/>
  <c r="H7" i="53" s="1"/>
  <c r="H7" i="39"/>
  <c r="T12" i="57"/>
  <c r="H7" i="57" s="1"/>
  <c r="V72" i="37"/>
  <c r="R68" i="37"/>
  <c r="U74" i="37"/>
  <c r="U73" i="37"/>
  <c r="AA88" i="18"/>
  <c r="AF14" i="18" s="1"/>
  <c r="AA87" i="19"/>
  <c r="V12" i="55"/>
  <c r="R12" i="54"/>
  <c r="V63" i="39"/>
  <c r="R63" i="38"/>
  <c r="I21" i="52"/>
  <c r="U26" i="53"/>
  <c r="U35" i="39"/>
  <c r="I30" i="38"/>
  <c r="I54" i="48"/>
  <c r="U59" i="49"/>
  <c r="T34" i="37"/>
  <c r="H29" i="36"/>
  <c r="I23" i="38"/>
  <c r="U28" i="39"/>
  <c r="U38" i="47"/>
  <c r="I33" i="46"/>
  <c r="V70" i="36"/>
  <c r="U72" i="36"/>
  <c r="Z72" i="36"/>
  <c r="T21" i="37"/>
  <c r="H16" i="36"/>
  <c r="T40" i="36"/>
  <c r="H35" i="35"/>
  <c r="X32" i="39"/>
  <c r="Y32" i="39" s="1"/>
  <c r="Z32" i="38"/>
  <c r="U33" i="40"/>
  <c r="I28" i="39"/>
  <c r="X31" i="37"/>
  <c r="Y31" i="37" s="1"/>
  <c r="Z31" i="36"/>
  <c r="U25" i="46"/>
  <c r="I20" i="40"/>
  <c r="U52" i="48"/>
  <c r="I47" i="47"/>
  <c r="Z20" i="40"/>
  <c r="X20" i="46"/>
  <c r="Y20" i="46" s="1"/>
  <c r="X53" i="35"/>
  <c r="Y53" i="35" s="1"/>
  <c r="Z53" i="34"/>
  <c r="U53" i="39"/>
  <c r="I48" i="38"/>
  <c r="U18" i="48"/>
  <c r="I13" i="47"/>
  <c r="Z26" i="39"/>
  <c r="X26" i="40"/>
  <c r="Y26" i="40" s="1"/>
  <c r="X40" i="34"/>
  <c r="Y40" i="34" s="1"/>
  <c r="Z40" i="33"/>
  <c r="U43" i="39"/>
  <c r="I38" i="38"/>
  <c r="T64" i="37"/>
  <c r="H59" i="36"/>
  <c r="X25" i="34"/>
  <c r="Y25" i="34" s="1"/>
  <c r="Z25" i="33"/>
  <c r="X17" i="34"/>
  <c r="Y17" i="34" s="1"/>
  <c r="Z17" i="33"/>
  <c r="X23" i="34"/>
  <c r="Y23" i="34" s="1"/>
  <c r="Z23" i="33"/>
  <c r="U63" i="37"/>
  <c r="I58" i="36"/>
  <c r="T37" i="37"/>
  <c r="H32" i="36"/>
  <c r="V66" i="39"/>
  <c r="R66" i="38"/>
  <c r="U55" i="37"/>
  <c r="I50" i="36"/>
  <c r="Z64" i="33"/>
  <c r="X64" i="34"/>
  <c r="Y64" i="34" s="1"/>
  <c r="X28" i="36"/>
  <c r="Y28" i="36" s="1"/>
  <c r="Z28" i="35"/>
  <c r="H11" i="35"/>
  <c r="T16" i="36"/>
  <c r="T44" i="39"/>
  <c r="H39" i="39" s="1"/>
  <c r="H39" i="38"/>
  <c r="X41" i="35"/>
  <c r="Y41" i="35" s="1"/>
  <c r="Z41" i="34"/>
  <c r="X42" i="39"/>
  <c r="Y42" i="39" s="1"/>
  <c r="Z42" i="38"/>
  <c r="X58" i="34"/>
  <c r="Y58" i="34" s="1"/>
  <c r="Z58" i="33"/>
  <c r="X50" i="34"/>
  <c r="Y50" i="34" s="1"/>
  <c r="Z50" i="33"/>
  <c r="T13" i="37"/>
  <c r="H8" i="36"/>
  <c r="I10" i="38"/>
  <c r="U15" i="39"/>
  <c r="T52" i="39"/>
  <c r="H47" i="39" s="1"/>
  <c r="H47" i="38"/>
  <c r="V49" i="39"/>
  <c r="R49" i="38"/>
  <c r="X29" i="34"/>
  <c r="Y29" i="34" s="1"/>
  <c r="Z29" i="33"/>
  <c r="Z30" i="33"/>
  <c r="X30" i="34"/>
  <c r="Y30" i="34" s="1"/>
  <c r="T30" i="36"/>
  <c r="H25" i="35"/>
  <c r="X60" i="35"/>
  <c r="Y60" i="35" s="1"/>
  <c r="Z60" i="34"/>
  <c r="X49" i="37"/>
  <c r="Y49" i="37" s="1"/>
  <c r="Z49" i="36"/>
  <c r="U66" i="48"/>
  <c r="I61" i="47"/>
  <c r="Z43" i="35"/>
  <c r="X43" i="36"/>
  <c r="Y43" i="36" s="1"/>
  <c r="X24" i="37"/>
  <c r="Y24" i="37" s="1"/>
  <c r="Z24" i="36"/>
  <c r="AA77" i="51"/>
  <c r="AA79" i="51" s="1"/>
  <c r="X72" i="52"/>
  <c r="Y72" i="52" s="1"/>
  <c r="V29" i="39"/>
  <c r="R29" i="38"/>
  <c r="V68" i="38"/>
  <c r="V56" i="39"/>
  <c r="R56" i="38"/>
  <c r="R33" i="52"/>
  <c r="V33" i="53"/>
  <c r="AA81" i="50"/>
  <c r="AF16" i="50" s="1"/>
  <c r="AA80" i="51"/>
  <c r="U17" i="40"/>
  <c r="I12" i="39"/>
  <c r="X63" i="34"/>
  <c r="Y63" i="34" s="1"/>
  <c r="Z63" i="33"/>
  <c r="X36" i="36"/>
  <c r="Y36" i="36" s="1"/>
  <c r="Z36" i="35"/>
  <c r="U37" i="38"/>
  <c r="I32" i="37"/>
  <c r="I18" i="47"/>
  <c r="U23" i="48"/>
  <c r="U49" i="47"/>
  <c r="I44" i="46"/>
  <c r="V59" i="39"/>
  <c r="R59" i="38"/>
  <c r="X18" i="36"/>
  <c r="Y18" i="36" s="1"/>
  <c r="Z18" i="35"/>
  <c r="U29" i="38"/>
  <c r="I24" i="37"/>
  <c r="AG27" i="19"/>
  <c r="Y74" i="19"/>
  <c r="H22" i="34"/>
  <c r="T27" i="35"/>
  <c r="T32" i="35"/>
  <c r="H27" i="34"/>
  <c r="T54" i="38"/>
  <c r="H49" i="37"/>
  <c r="Z14" i="33"/>
  <c r="X14" i="34"/>
  <c r="Y14" i="34" s="1"/>
  <c r="Z62" i="35"/>
  <c r="X62" i="36"/>
  <c r="Y62" i="36" s="1"/>
  <c r="Z21" i="35"/>
  <c r="X21" i="36"/>
  <c r="Y21" i="36" s="1"/>
  <c r="Z15" i="33"/>
  <c r="X15" i="34"/>
  <c r="Y15" i="34" s="1"/>
  <c r="T18" i="39"/>
  <c r="H13" i="39" s="1"/>
  <c r="H13" i="38"/>
  <c r="Z37" i="33"/>
  <c r="X37" i="34"/>
  <c r="Y37" i="34" s="1"/>
  <c r="T15" i="39"/>
  <c r="H10" i="39" s="1"/>
  <c r="H10" i="38"/>
  <c r="Z54" i="35"/>
  <c r="X54" i="36"/>
  <c r="Y54" i="36" s="1"/>
  <c r="U61" i="39"/>
  <c r="I56" i="38"/>
  <c r="X22" i="34"/>
  <c r="Y22" i="34" s="1"/>
  <c r="Z22" i="33"/>
  <c r="X27" i="35"/>
  <c r="Y27" i="35" s="1"/>
  <c r="Z27" i="34"/>
  <c r="T31" i="39"/>
  <c r="H26" i="39" s="1"/>
  <c r="H26" i="38"/>
  <c r="X39" i="36"/>
  <c r="Y39" i="36" s="1"/>
  <c r="Z39" i="35"/>
  <c r="Z51" i="35"/>
  <c r="X51" i="36"/>
  <c r="Y51" i="36" s="1"/>
  <c r="Z34" i="34"/>
  <c r="X34" i="35"/>
  <c r="Y34" i="35" s="1"/>
  <c r="Z61" i="34"/>
  <c r="X61" i="35"/>
  <c r="Y61" i="35" s="1"/>
  <c r="V60" i="39"/>
  <c r="R60" i="38"/>
  <c r="Y13" i="20"/>
  <c r="X68" i="20"/>
  <c r="X74" i="20" s="1"/>
  <c r="V67" i="39"/>
  <c r="R67" i="38"/>
  <c r="Z67" i="38"/>
  <c r="U67" i="38"/>
  <c r="I62" i="37"/>
  <c r="X55" i="36"/>
  <c r="Y55" i="36" s="1"/>
  <c r="Z55" i="35"/>
  <c r="V58" i="39"/>
  <c r="R58" i="38"/>
  <c r="H45" i="38"/>
  <c r="T50" i="39"/>
  <c r="H45" i="39" s="1"/>
  <c r="T56" i="37"/>
  <c r="H51" i="36"/>
  <c r="I36" i="37"/>
  <c r="U41" i="38"/>
  <c r="U27" i="39"/>
  <c r="I22" i="38"/>
  <c r="U21" i="38"/>
  <c r="I16" i="37"/>
  <c r="Z44" i="34"/>
  <c r="X44" i="35"/>
  <c r="Y44" i="35" s="1"/>
  <c r="V73" i="51"/>
  <c r="Z73" i="50"/>
  <c r="X57" i="37"/>
  <c r="Y57" i="37" s="1"/>
  <c r="Z57" i="36"/>
  <c r="X33" i="34"/>
  <c r="Y33" i="34" s="1"/>
  <c r="Z33" i="33"/>
  <c r="R17" i="57"/>
  <c r="Z16" i="36"/>
  <c r="X16" i="37"/>
  <c r="Y16" i="37" s="1"/>
  <c r="Y12" i="22"/>
  <c r="T60" i="39"/>
  <c r="H55" i="39" s="1"/>
  <c r="H55" i="38"/>
  <c r="Z19" i="35"/>
  <c r="X19" i="36"/>
  <c r="Y19" i="36" s="1"/>
  <c r="I26" i="38"/>
  <c r="U31" i="39"/>
  <c r="I14" i="37"/>
  <c r="U19" i="38"/>
  <c r="I46" i="37"/>
  <c r="U51" i="38"/>
  <c r="V42" i="51"/>
  <c r="R42" i="50"/>
  <c r="T53" i="38"/>
  <c r="H48" i="37"/>
  <c r="X66" i="34"/>
  <c r="Y66" i="34" s="1"/>
  <c r="Z66" i="33"/>
  <c r="V65" i="39"/>
  <c r="R65" i="38"/>
  <c r="Z65" i="38"/>
  <c r="Z52" i="34"/>
  <c r="X52" i="35"/>
  <c r="Y52" i="35" s="1"/>
  <c r="H46" i="37"/>
  <c r="T51" i="38"/>
  <c r="X59" i="35"/>
  <c r="Y59" i="35" s="1"/>
  <c r="Z59" i="34"/>
  <c r="V36" i="39"/>
  <c r="R36" i="38"/>
  <c r="I34" i="47"/>
  <c r="U39" i="48"/>
  <c r="U65" i="37"/>
  <c r="I60" i="36"/>
  <c r="H21" i="36"/>
  <c r="T26" i="37"/>
  <c r="U42" i="40"/>
  <c r="I37" i="39"/>
  <c r="R21" i="55" l="1"/>
  <c r="V21" i="56"/>
  <c r="V54" i="56"/>
  <c r="R54" i="55"/>
  <c r="V16" i="56"/>
  <c r="R16" i="55"/>
  <c r="U16" i="56"/>
  <c r="I11" i="55"/>
  <c r="U32" i="56"/>
  <c r="I27" i="55"/>
  <c r="R39" i="56"/>
  <c r="V39" i="57"/>
  <c r="R39" i="57" s="1"/>
  <c r="V14" i="56"/>
  <c r="R14" i="55"/>
  <c r="V43" i="57"/>
  <c r="R43" i="57" s="1"/>
  <c r="R43" i="56"/>
  <c r="V32" i="56"/>
  <c r="R32" i="55"/>
  <c r="I55" i="55"/>
  <c r="U60" i="56"/>
  <c r="R37" i="55"/>
  <c r="V37" i="56"/>
  <c r="R64" i="55"/>
  <c r="V64" i="56"/>
  <c r="V65" i="40"/>
  <c r="R65" i="39"/>
  <c r="Z65" i="39"/>
  <c r="X36" i="37"/>
  <c r="Y36" i="37" s="1"/>
  <c r="Z36" i="36"/>
  <c r="V49" i="40"/>
  <c r="R49" i="39"/>
  <c r="Z50" i="34"/>
  <c r="X50" i="35"/>
  <c r="Y50" i="35" s="1"/>
  <c r="X33" i="35"/>
  <c r="Y33" i="35" s="1"/>
  <c r="Z33" i="34"/>
  <c r="I62" i="38"/>
  <c r="U67" i="39"/>
  <c r="T30" i="37"/>
  <c r="H25" i="36"/>
  <c r="H11" i="36"/>
  <c r="T16" i="37"/>
  <c r="U43" i="40"/>
  <c r="I38" i="39"/>
  <c r="U25" i="47"/>
  <c r="I20" i="46"/>
  <c r="I23" i="39"/>
  <c r="U28" i="40"/>
  <c r="U26" i="54"/>
  <c r="I21" i="53"/>
  <c r="I52" i="47"/>
  <c r="U57" i="48"/>
  <c r="U65" i="38"/>
  <c r="I60" i="37"/>
  <c r="H46" i="38"/>
  <c r="T51" i="39"/>
  <c r="H46" i="39" s="1"/>
  <c r="X66" i="35"/>
  <c r="Y66" i="35" s="1"/>
  <c r="Z66" i="34"/>
  <c r="U19" i="39"/>
  <c r="I14" i="38"/>
  <c r="X12" i="23"/>
  <c r="Z12" i="22"/>
  <c r="I16" i="38"/>
  <c r="U21" i="39"/>
  <c r="X61" i="36"/>
  <c r="Y61" i="36" s="1"/>
  <c r="Z61" i="35"/>
  <c r="Z54" i="36"/>
  <c r="X54" i="37"/>
  <c r="Y54" i="37" s="1"/>
  <c r="Z15" i="34"/>
  <c r="X15" i="35"/>
  <c r="Y15" i="35" s="1"/>
  <c r="I44" i="47"/>
  <c r="U49" i="48"/>
  <c r="X63" i="35"/>
  <c r="Y63" i="35" s="1"/>
  <c r="Z63" i="34"/>
  <c r="V29" i="40"/>
  <c r="R29" i="39"/>
  <c r="V68" i="39"/>
  <c r="X30" i="35"/>
  <c r="Y30" i="35" s="1"/>
  <c r="Z30" i="34"/>
  <c r="X58" i="35"/>
  <c r="Y58" i="35" s="1"/>
  <c r="Z58" i="34"/>
  <c r="Z38" i="34"/>
  <c r="X38" i="35"/>
  <c r="Y38" i="35" s="1"/>
  <c r="H51" i="37"/>
  <c r="T56" i="38"/>
  <c r="V78" i="19"/>
  <c r="V79" i="19" s="1"/>
  <c r="AA84" i="19"/>
  <c r="AA86" i="19" s="1"/>
  <c r="AA88" i="19" s="1"/>
  <c r="AF14" i="19" s="1"/>
  <c r="Y70" i="19"/>
  <c r="X43" i="37"/>
  <c r="Y43" i="37" s="1"/>
  <c r="Z43" i="36"/>
  <c r="U55" i="38"/>
  <c r="I50" i="37"/>
  <c r="U35" i="40"/>
  <c r="I30" i="39"/>
  <c r="V60" i="40"/>
  <c r="R60" i="39"/>
  <c r="X39" i="37"/>
  <c r="Y39" i="37" s="1"/>
  <c r="Z39" i="36"/>
  <c r="U61" i="40"/>
  <c r="I56" i="39"/>
  <c r="V33" i="54"/>
  <c r="R33" i="53"/>
  <c r="Z23" i="34"/>
  <c r="X23" i="35"/>
  <c r="Y23" i="35" s="1"/>
  <c r="I48" i="39"/>
  <c r="U53" i="40"/>
  <c r="H35" i="36"/>
  <c r="T40" i="37"/>
  <c r="V12" i="56"/>
  <c r="R12" i="55"/>
  <c r="U39" i="49"/>
  <c r="I34" i="48"/>
  <c r="Z57" i="37"/>
  <c r="X57" i="38"/>
  <c r="Y57" i="38" s="1"/>
  <c r="T54" i="39"/>
  <c r="H49" i="39" s="1"/>
  <c r="H49" i="38"/>
  <c r="I24" i="38"/>
  <c r="U29" i="39"/>
  <c r="U23" i="49"/>
  <c r="I18" i="48"/>
  <c r="I61" i="48"/>
  <c r="U66" i="49"/>
  <c r="U15" i="40"/>
  <c r="I10" i="39"/>
  <c r="V66" i="40"/>
  <c r="R66" i="39"/>
  <c r="X17" i="35"/>
  <c r="Y17" i="35" s="1"/>
  <c r="Z17" i="34"/>
  <c r="X40" i="35"/>
  <c r="Y40" i="35" s="1"/>
  <c r="Z40" i="34"/>
  <c r="Z53" i="35"/>
  <c r="X53" i="36"/>
  <c r="Y53" i="36" s="1"/>
  <c r="X31" i="38"/>
  <c r="Y31" i="38" s="1"/>
  <c r="Z31" i="37"/>
  <c r="H16" i="37"/>
  <c r="T21" i="38"/>
  <c r="U38" i="48"/>
  <c r="I33" i="47"/>
  <c r="Z16" i="37"/>
  <c r="X16" i="38"/>
  <c r="Y16" i="38" s="1"/>
  <c r="U27" i="40"/>
  <c r="I22" i="39"/>
  <c r="Z34" i="35"/>
  <c r="X34" i="36"/>
  <c r="Y34" i="36" s="1"/>
  <c r="Z21" i="36"/>
  <c r="X21" i="37"/>
  <c r="Y21" i="37" s="1"/>
  <c r="AA77" i="52"/>
  <c r="AA79" i="52" s="1"/>
  <c r="X72" i="53"/>
  <c r="Y72" i="53" s="1"/>
  <c r="X42" i="40"/>
  <c r="Y42" i="40" s="1"/>
  <c r="Z42" i="39"/>
  <c r="Z20" i="46"/>
  <c r="X20" i="47"/>
  <c r="Y20" i="47" s="1"/>
  <c r="T34" i="38"/>
  <c r="H29" i="37"/>
  <c r="V58" i="40"/>
  <c r="R58" i="39"/>
  <c r="X27" i="36"/>
  <c r="Y27" i="36" s="1"/>
  <c r="Z27" i="35"/>
  <c r="T32" i="36"/>
  <c r="H27" i="35"/>
  <c r="Z18" i="36"/>
  <c r="X18" i="37"/>
  <c r="Y18" i="37" s="1"/>
  <c r="V56" i="40"/>
  <c r="R56" i="39"/>
  <c r="AA81" i="51"/>
  <c r="AF16" i="51" s="1"/>
  <c r="AA80" i="52"/>
  <c r="X49" i="38"/>
  <c r="Y49" i="38" s="1"/>
  <c r="Z49" i="37"/>
  <c r="X29" i="35"/>
  <c r="Y29" i="35" s="1"/>
  <c r="Z29" i="34"/>
  <c r="X64" i="35"/>
  <c r="Y64" i="35" s="1"/>
  <c r="Z64" i="34"/>
  <c r="H32" i="37"/>
  <c r="T37" i="38"/>
  <c r="Z25" i="34"/>
  <c r="X25" i="35"/>
  <c r="Y25" i="35" s="1"/>
  <c r="U33" i="46"/>
  <c r="I28" i="40"/>
  <c r="U59" i="50"/>
  <c r="I54" i="49"/>
  <c r="V63" i="40"/>
  <c r="R63" i="39"/>
  <c r="X56" i="35"/>
  <c r="Y56" i="35" s="1"/>
  <c r="Z56" i="34"/>
  <c r="X59" i="36"/>
  <c r="Y59" i="36" s="1"/>
  <c r="Z59" i="35"/>
  <c r="Z52" i="35"/>
  <c r="X52" i="36"/>
  <c r="Y52" i="36" s="1"/>
  <c r="U31" i="40"/>
  <c r="I26" i="39"/>
  <c r="V67" i="40"/>
  <c r="R67" i="39"/>
  <c r="Z67" i="39"/>
  <c r="X28" i="37"/>
  <c r="Y28" i="37" s="1"/>
  <c r="Z28" i="36"/>
  <c r="Z26" i="40"/>
  <c r="X26" i="46"/>
  <c r="Y26" i="46" s="1"/>
  <c r="U41" i="39"/>
  <c r="I36" i="38"/>
  <c r="U42" i="46"/>
  <c r="I37" i="40"/>
  <c r="Z19" i="36"/>
  <c r="X19" i="37"/>
  <c r="Y19" i="37" s="1"/>
  <c r="V73" i="52"/>
  <c r="Z73" i="51"/>
  <c r="Z13" i="20"/>
  <c r="Z68" i="20" s="1"/>
  <c r="Z74" i="20" s="1"/>
  <c r="Z70" i="20" s="1"/>
  <c r="X13" i="21"/>
  <c r="Y68" i="20"/>
  <c r="Z51" i="36"/>
  <c r="X51" i="37"/>
  <c r="Y51" i="37" s="1"/>
  <c r="Z37" i="34"/>
  <c r="X37" i="35"/>
  <c r="Y37" i="35" s="1"/>
  <c r="Z62" i="36"/>
  <c r="X62" i="37"/>
  <c r="Y62" i="37" s="1"/>
  <c r="T27" i="36"/>
  <c r="H22" i="35"/>
  <c r="I32" i="38"/>
  <c r="U37" i="39"/>
  <c r="H8" i="37"/>
  <c r="T13" i="38"/>
  <c r="Z41" i="35"/>
  <c r="X41" i="36"/>
  <c r="Y41" i="36" s="1"/>
  <c r="U51" i="39"/>
  <c r="I46" i="38"/>
  <c r="Z14" i="34"/>
  <c r="X14" i="35"/>
  <c r="Y14" i="35" s="1"/>
  <c r="V59" i="40"/>
  <c r="R59" i="39"/>
  <c r="H48" i="38"/>
  <c r="T53" i="39"/>
  <c r="H48" i="39" s="1"/>
  <c r="U17" i="46"/>
  <c r="I12" i="40"/>
  <c r="T26" i="38"/>
  <c r="H21" i="37"/>
  <c r="V36" i="40"/>
  <c r="R36" i="39"/>
  <c r="V42" i="52"/>
  <c r="R42" i="51"/>
  <c r="X44" i="36"/>
  <c r="Y44" i="36" s="1"/>
  <c r="Z44" i="35"/>
  <c r="X55" i="37"/>
  <c r="Y55" i="37" s="1"/>
  <c r="Z55" i="36"/>
  <c r="X22" i="35"/>
  <c r="Y22" i="35" s="1"/>
  <c r="Z22" i="34"/>
  <c r="R68" i="38"/>
  <c r="U74" i="38"/>
  <c r="V72" i="38"/>
  <c r="U73" i="38"/>
  <c r="X24" i="38"/>
  <c r="Y24" i="38" s="1"/>
  <c r="Z24" i="37"/>
  <c r="X60" i="36"/>
  <c r="Y60" i="36" s="1"/>
  <c r="Z60" i="35"/>
  <c r="U63" i="38"/>
  <c r="I58" i="37"/>
  <c r="H59" i="37"/>
  <c r="T64" i="38"/>
  <c r="U18" i="49"/>
  <c r="I13" i="48"/>
  <c r="U52" i="49"/>
  <c r="I47" i="48"/>
  <c r="Z32" i="39"/>
  <c r="X32" i="40"/>
  <c r="Y32" i="40" s="1"/>
  <c r="U72" i="37"/>
  <c r="V70" i="37"/>
  <c r="Z72" i="37"/>
  <c r="T23" i="39"/>
  <c r="H18" i="39" s="1"/>
  <c r="H18" i="38"/>
  <c r="X35" i="36"/>
  <c r="Y35" i="36" s="1"/>
  <c r="Z35" i="35"/>
  <c r="V64" i="57" l="1"/>
  <c r="R64" i="57" s="1"/>
  <c r="R64" i="56"/>
  <c r="V37" i="57"/>
  <c r="R37" i="57" s="1"/>
  <c r="R37" i="56"/>
  <c r="R14" i="56"/>
  <c r="V14" i="57"/>
  <c r="R14" i="57" s="1"/>
  <c r="V16" i="57"/>
  <c r="R16" i="57" s="1"/>
  <c r="R16" i="56"/>
  <c r="I55" i="56"/>
  <c r="U60" i="57"/>
  <c r="I55" i="57" s="1"/>
  <c r="I11" i="56"/>
  <c r="U16" i="57"/>
  <c r="I11" i="57" s="1"/>
  <c r="R54" i="56"/>
  <c r="V54" i="57"/>
  <c r="R54" i="57" s="1"/>
  <c r="V21" i="57"/>
  <c r="R21" i="57" s="1"/>
  <c r="R21" i="56"/>
  <c r="V32" i="57"/>
  <c r="R32" i="57" s="1"/>
  <c r="R32" i="56"/>
  <c r="I27" i="56"/>
  <c r="U32" i="57"/>
  <c r="I27" i="57" s="1"/>
  <c r="U52" i="50"/>
  <c r="I47" i="49"/>
  <c r="X56" i="36"/>
  <c r="Y56" i="36" s="1"/>
  <c r="Z56" i="35"/>
  <c r="I10" i="40"/>
  <c r="U15" i="46"/>
  <c r="X20" i="48"/>
  <c r="Y20" i="48" s="1"/>
  <c r="Z20" i="47"/>
  <c r="X57" i="39"/>
  <c r="Y57" i="39" s="1"/>
  <c r="Z57" i="38"/>
  <c r="R33" i="54"/>
  <c r="V33" i="55"/>
  <c r="I30" i="40"/>
  <c r="U35" i="46"/>
  <c r="H51" i="38"/>
  <c r="T56" i="39"/>
  <c r="H51" i="39" s="1"/>
  <c r="Z24" i="38"/>
  <c r="X24" i="39"/>
  <c r="Y24" i="39" s="1"/>
  <c r="V36" i="46"/>
  <c r="R36" i="40"/>
  <c r="V73" i="53"/>
  <c r="Z73" i="52"/>
  <c r="Z26" i="46"/>
  <c r="X26" i="47"/>
  <c r="Y26" i="47" s="1"/>
  <c r="I26" i="40"/>
  <c r="U31" i="46"/>
  <c r="T37" i="39"/>
  <c r="H32" i="39" s="1"/>
  <c r="H32" i="38"/>
  <c r="T32" i="37"/>
  <c r="H27" i="36"/>
  <c r="X34" i="37"/>
  <c r="Y34" i="37" s="1"/>
  <c r="Z34" i="36"/>
  <c r="T21" i="39"/>
  <c r="H16" i="39" s="1"/>
  <c r="H16" i="38"/>
  <c r="Y12" i="23"/>
  <c r="U67" i="40"/>
  <c r="I62" i="39"/>
  <c r="V49" i="46"/>
  <c r="R49" i="40"/>
  <c r="V67" i="46"/>
  <c r="R67" i="40"/>
  <c r="Z67" i="40"/>
  <c r="Z21" i="37"/>
  <c r="X21" i="38"/>
  <c r="Y21" i="38" s="1"/>
  <c r="X40" i="36"/>
  <c r="Y40" i="36" s="1"/>
  <c r="Z40" i="35"/>
  <c r="T40" i="38"/>
  <c r="H35" i="37"/>
  <c r="U74" i="39"/>
  <c r="R68" i="39"/>
  <c r="V72" i="39"/>
  <c r="U73" i="39"/>
  <c r="Z15" i="35"/>
  <c r="X15" i="36"/>
  <c r="Y15" i="36" s="1"/>
  <c r="T30" i="38"/>
  <c r="H25" i="37"/>
  <c r="U18" i="50"/>
  <c r="I13" i="49"/>
  <c r="X55" i="38"/>
  <c r="Y55" i="38" s="1"/>
  <c r="Z55" i="37"/>
  <c r="V59" i="46"/>
  <c r="R59" i="40"/>
  <c r="H59" i="38"/>
  <c r="T64" i="39"/>
  <c r="H59" i="39" s="1"/>
  <c r="X14" i="36"/>
  <c r="Y14" i="36" s="1"/>
  <c r="Z14" i="35"/>
  <c r="U37" i="40"/>
  <c r="I32" i="39"/>
  <c r="Z51" i="37"/>
  <c r="X51" i="38"/>
  <c r="Y51" i="38" s="1"/>
  <c r="X19" i="38"/>
  <c r="Y19" i="38" s="1"/>
  <c r="Z19" i="37"/>
  <c r="X52" i="37"/>
  <c r="Y52" i="37" s="1"/>
  <c r="Z52" i="36"/>
  <c r="V63" i="46"/>
  <c r="R63" i="40"/>
  <c r="X17" i="36"/>
  <c r="Y17" i="36" s="1"/>
  <c r="Z17" i="35"/>
  <c r="I48" i="40"/>
  <c r="U53" i="46"/>
  <c r="U61" i="46"/>
  <c r="I56" i="40"/>
  <c r="I50" i="38"/>
  <c r="U55" i="39"/>
  <c r="X38" i="36"/>
  <c r="Y38" i="36" s="1"/>
  <c r="Z38" i="35"/>
  <c r="Z54" i="37"/>
  <c r="X54" i="38"/>
  <c r="Y54" i="38" s="1"/>
  <c r="I60" i="38"/>
  <c r="U65" i="39"/>
  <c r="U25" i="48"/>
  <c r="I20" i="47"/>
  <c r="U41" i="40"/>
  <c r="I36" i="39"/>
  <c r="H21" i="38"/>
  <c r="T26" i="39"/>
  <c r="H21" i="39" s="1"/>
  <c r="U39" i="50"/>
  <c r="I34" i="49"/>
  <c r="V29" i="46"/>
  <c r="R29" i="40"/>
  <c r="V68" i="40"/>
  <c r="U57" i="49"/>
  <c r="I52" i="48"/>
  <c r="Z32" i="40"/>
  <c r="X32" i="46"/>
  <c r="Y32" i="46" s="1"/>
  <c r="Y74" i="20"/>
  <c r="AG27" i="20"/>
  <c r="X28" i="38"/>
  <c r="Y28" i="38" s="1"/>
  <c r="Z28" i="37"/>
  <c r="I54" i="50"/>
  <c r="U59" i="51"/>
  <c r="Z64" i="35"/>
  <c r="X64" i="36"/>
  <c r="Y64" i="36" s="1"/>
  <c r="X72" i="54"/>
  <c r="Y72" i="54" s="1"/>
  <c r="AA77" i="53"/>
  <c r="AA79" i="53" s="1"/>
  <c r="U27" i="46"/>
  <c r="I22" i="40"/>
  <c r="Z31" i="38"/>
  <c r="X31" i="39"/>
  <c r="Y31" i="39" s="1"/>
  <c r="I24" i="39"/>
  <c r="U29" i="40"/>
  <c r="X23" i="36"/>
  <c r="Y23" i="36" s="1"/>
  <c r="Z23" i="35"/>
  <c r="Z39" i="37"/>
  <c r="X39" i="38"/>
  <c r="Y39" i="38" s="1"/>
  <c r="Z43" i="37"/>
  <c r="X43" i="38"/>
  <c r="Y43" i="38" s="1"/>
  <c r="I14" i="39"/>
  <c r="U19" i="40"/>
  <c r="I38" i="40"/>
  <c r="U43" i="46"/>
  <c r="X33" i="36"/>
  <c r="Y33" i="36" s="1"/>
  <c r="Z33" i="35"/>
  <c r="X60" i="37"/>
  <c r="Y60" i="37" s="1"/>
  <c r="Z60" i="36"/>
  <c r="Z25" i="35"/>
  <c r="X25" i="36"/>
  <c r="Y25" i="36" s="1"/>
  <c r="X37" i="36"/>
  <c r="Y37" i="36" s="1"/>
  <c r="Z37" i="35"/>
  <c r="I33" i="48"/>
  <c r="U38" i="49"/>
  <c r="Z44" i="36"/>
  <c r="X44" i="37"/>
  <c r="Y44" i="37" s="1"/>
  <c r="X27" i="37"/>
  <c r="Y27" i="37" s="1"/>
  <c r="Z27" i="36"/>
  <c r="X36" i="38"/>
  <c r="Y36" i="38" s="1"/>
  <c r="Z36" i="37"/>
  <c r="I58" i="38"/>
  <c r="U63" i="39"/>
  <c r="U17" i="47"/>
  <c r="I12" i="46"/>
  <c r="U51" i="40"/>
  <c r="I46" i="39"/>
  <c r="H22" i="36"/>
  <c r="T27" i="37"/>
  <c r="Y13" i="21"/>
  <c r="X68" i="21"/>
  <c r="U42" i="47"/>
  <c r="I37" i="46"/>
  <c r="X59" i="37"/>
  <c r="Y59" i="37" s="1"/>
  <c r="Z59" i="36"/>
  <c r="V56" i="46"/>
  <c r="R56" i="40"/>
  <c r="V58" i="46"/>
  <c r="R58" i="40"/>
  <c r="AA81" i="52"/>
  <c r="AF16" i="52" s="1"/>
  <c r="AA80" i="53"/>
  <c r="Z16" i="38"/>
  <c r="X16" i="39"/>
  <c r="Y16" i="39" s="1"/>
  <c r="Z53" i="36"/>
  <c r="X53" i="37"/>
  <c r="Y53" i="37" s="1"/>
  <c r="V66" i="46"/>
  <c r="R66" i="40"/>
  <c r="X58" i="36"/>
  <c r="Y58" i="36" s="1"/>
  <c r="Z58" i="35"/>
  <c r="X63" i="36"/>
  <c r="Y63" i="36" s="1"/>
  <c r="Z63" i="35"/>
  <c r="Z61" i="36"/>
  <c r="X61" i="37"/>
  <c r="Y61" i="37" s="1"/>
  <c r="T16" i="38"/>
  <c r="H11" i="37"/>
  <c r="X50" i="36"/>
  <c r="Y50" i="36" s="1"/>
  <c r="Z50" i="35"/>
  <c r="X22" i="36"/>
  <c r="Y22" i="36" s="1"/>
  <c r="Z22" i="35"/>
  <c r="H29" i="38"/>
  <c r="T34" i="39"/>
  <c r="H29" i="39" s="1"/>
  <c r="R12" i="56"/>
  <c r="V12" i="57"/>
  <c r="X30" i="36"/>
  <c r="Y30" i="36" s="1"/>
  <c r="Z30" i="35"/>
  <c r="U28" i="46"/>
  <c r="I23" i="40"/>
  <c r="T13" i="39"/>
  <c r="H8" i="39" s="1"/>
  <c r="H8" i="38"/>
  <c r="X49" i="39"/>
  <c r="Y49" i="39" s="1"/>
  <c r="Z49" i="38"/>
  <c r="I61" i="49"/>
  <c r="U66" i="50"/>
  <c r="V70" i="38"/>
  <c r="U72" i="38"/>
  <c r="Z72" i="38"/>
  <c r="X42" i="46"/>
  <c r="Y42" i="46" s="1"/>
  <c r="Z42" i="40"/>
  <c r="U23" i="50"/>
  <c r="I18" i="49"/>
  <c r="Z35" i="36"/>
  <c r="X35" i="37"/>
  <c r="Y35" i="37" s="1"/>
  <c r="V42" i="53"/>
  <c r="R42" i="52"/>
  <c r="Z41" i="36"/>
  <c r="X41" i="37"/>
  <c r="Y41" i="37" s="1"/>
  <c r="X62" i="38"/>
  <c r="Y62" i="38" s="1"/>
  <c r="Z62" i="37"/>
  <c r="U33" i="47"/>
  <c r="I28" i="46"/>
  <c r="X29" i="36"/>
  <c r="Y29" i="36" s="1"/>
  <c r="Z29" i="35"/>
  <c r="X18" i="38"/>
  <c r="Y18" i="38" s="1"/>
  <c r="Z18" i="37"/>
  <c r="V60" i="46"/>
  <c r="R60" i="40"/>
  <c r="U49" i="49"/>
  <c r="I44" i="48"/>
  <c r="U21" i="40"/>
  <c r="I16" i="39"/>
  <c r="X66" i="36"/>
  <c r="Y66" i="36" s="1"/>
  <c r="Z66" i="35"/>
  <c r="U26" i="55"/>
  <c r="I21" i="54"/>
  <c r="V65" i="46"/>
  <c r="R65" i="40"/>
  <c r="Z65" i="40"/>
  <c r="U28" i="47" l="1"/>
  <c r="I23" i="46"/>
  <c r="I33" i="49"/>
  <c r="U38" i="50"/>
  <c r="U57" i="50"/>
  <c r="I52" i="49"/>
  <c r="V72" i="40"/>
  <c r="U74" i="40"/>
  <c r="R68" i="40"/>
  <c r="U73" i="40"/>
  <c r="X22" i="37"/>
  <c r="Y22" i="37" s="1"/>
  <c r="Z22" i="36"/>
  <c r="U43" i="47"/>
  <c r="I38" i="46"/>
  <c r="X17" i="37"/>
  <c r="Y17" i="37" s="1"/>
  <c r="Z17" i="36"/>
  <c r="U23" i="51"/>
  <c r="I18" i="50"/>
  <c r="X36" i="39"/>
  <c r="Y36" i="39" s="1"/>
  <c r="Z36" i="38"/>
  <c r="Z37" i="36"/>
  <c r="X37" i="37"/>
  <c r="Y37" i="37" s="1"/>
  <c r="Z23" i="36"/>
  <c r="X23" i="37"/>
  <c r="Y23" i="37" s="1"/>
  <c r="X72" i="55"/>
  <c r="Y72" i="55" s="1"/>
  <c r="AA77" i="54"/>
  <c r="AA79" i="54" s="1"/>
  <c r="U55" i="40"/>
  <c r="I50" i="39"/>
  <c r="H25" i="38"/>
  <c r="T30" i="39"/>
  <c r="H25" i="39" s="1"/>
  <c r="H35" i="38"/>
  <c r="T40" i="39"/>
  <c r="H35" i="39" s="1"/>
  <c r="V36" i="47"/>
  <c r="R36" i="46"/>
  <c r="R35" i="46"/>
  <c r="U33" i="48"/>
  <c r="I28" i="47"/>
  <c r="I58" i="39"/>
  <c r="U63" i="40"/>
  <c r="X33" i="37"/>
  <c r="Y33" i="37" s="1"/>
  <c r="Z33" i="36"/>
  <c r="U35" i="47"/>
  <c r="I30" i="46"/>
  <c r="R60" i="46"/>
  <c r="V60" i="47"/>
  <c r="Z30" i="36"/>
  <c r="X30" i="37"/>
  <c r="Y30" i="37" s="1"/>
  <c r="X16" i="40"/>
  <c r="Y16" i="40" s="1"/>
  <c r="Z16" i="39"/>
  <c r="X28" i="39"/>
  <c r="Y28" i="39" s="1"/>
  <c r="Z28" i="38"/>
  <c r="Z51" i="38"/>
  <c r="X51" i="39"/>
  <c r="Y51" i="39" s="1"/>
  <c r="U15" i="47"/>
  <c r="I10" i="46"/>
  <c r="X41" i="38"/>
  <c r="Y41" i="38" s="1"/>
  <c r="Z41" i="37"/>
  <c r="V56" i="47"/>
  <c r="R56" i="46"/>
  <c r="Z18" i="38"/>
  <c r="X18" i="39"/>
  <c r="Y18" i="39" s="1"/>
  <c r="X49" i="40"/>
  <c r="Y49" i="40" s="1"/>
  <c r="Z49" i="39"/>
  <c r="X50" i="37"/>
  <c r="Y50" i="37" s="1"/>
  <c r="Z50" i="36"/>
  <c r="X58" i="37"/>
  <c r="Y58" i="37" s="1"/>
  <c r="Z58" i="36"/>
  <c r="X25" i="37"/>
  <c r="Y25" i="37" s="1"/>
  <c r="Z25" i="36"/>
  <c r="I14" i="40"/>
  <c r="U19" i="46"/>
  <c r="I24" i="40"/>
  <c r="U29" i="46"/>
  <c r="AA84" i="20"/>
  <c r="AA86" i="20" s="1"/>
  <c r="V78" i="20"/>
  <c r="V79" i="20" s="1"/>
  <c r="Y70" i="20"/>
  <c r="V29" i="47"/>
  <c r="R29" i="46"/>
  <c r="V68" i="46"/>
  <c r="I20" i="48"/>
  <c r="U25" i="49"/>
  <c r="V59" i="47"/>
  <c r="R59" i="46"/>
  <c r="Z15" i="36"/>
  <c r="X15" i="37"/>
  <c r="Y15" i="37" s="1"/>
  <c r="X26" i="48"/>
  <c r="Y26" i="48" s="1"/>
  <c r="Z26" i="47"/>
  <c r="Z24" i="39"/>
  <c r="X24" i="40"/>
  <c r="Y24" i="40" s="1"/>
  <c r="V33" i="56"/>
  <c r="R33" i="55"/>
  <c r="Z35" i="37"/>
  <c r="X35" i="38"/>
  <c r="Y35" i="38" s="1"/>
  <c r="Z53" i="37"/>
  <c r="X53" i="38"/>
  <c r="Y53" i="38" s="1"/>
  <c r="X39" i="39"/>
  <c r="Y39" i="39" s="1"/>
  <c r="Z39" i="38"/>
  <c r="X12" i="24"/>
  <c r="Z12" i="23"/>
  <c r="V73" i="54"/>
  <c r="Z73" i="53"/>
  <c r="I21" i="55"/>
  <c r="U26" i="56"/>
  <c r="Z13" i="21"/>
  <c r="Z68" i="21" s="1"/>
  <c r="Z74" i="21" s="1"/>
  <c r="Z70" i="21" s="1"/>
  <c r="X13" i="22"/>
  <c r="Y68" i="21"/>
  <c r="Y74" i="21" s="1"/>
  <c r="X19" i="39"/>
  <c r="Y19" i="39" s="1"/>
  <c r="Z19" i="38"/>
  <c r="Z20" i="48"/>
  <c r="X20" i="49"/>
  <c r="Y20" i="49" s="1"/>
  <c r="T27" i="38"/>
  <c r="H22" i="37"/>
  <c r="AA81" i="53"/>
  <c r="AF16" i="53" s="1"/>
  <c r="AA80" i="54"/>
  <c r="U41" i="46"/>
  <c r="I36" i="40"/>
  <c r="R67" i="46"/>
  <c r="V67" i="47"/>
  <c r="Z67" i="46"/>
  <c r="X66" i="37"/>
  <c r="Y66" i="37" s="1"/>
  <c r="Z66" i="36"/>
  <c r="I16" i="40"/>
  <c r="U21" i="46"/>
  <c r="X42" i="47"/>
  <c r="Y42" i="47" s="1"/>
  <c r="Z42" i="46"/>
  <c r="R12" i="57"/>
  <c r="X59" i="38"/>
  <c r="Y59" i="38" s="1"/>
  <c r="Z59" i="37"/>
  <c r="I46" i="40"/>
  <c r="U51" i="46"/>
  <c r="Z27" i="37"/>
  <c r="X27" i="38"/>
  <c r="Y27" i="38" s="1"/>
  <c r="X64" i="37"/>
  <c r="Y64" i="37" s="1"/>
  <c r="Z64" i="36"/>
  <c r="Z32" i="46"/>
  <c r="X32" i="47"/>
  <c r="Y32" i="47" s="1"/>
  <c r="I60" i="39"/>
  <c r="U65" i="40"/>
  <c r="V63" i="47"/>
  <c r="R63" i="46"/>
  <c r="U37" i="46"/>
  <c r="I32" i="40"/>
  <c r="Z40" i="36"/>
  <c r="X40" i="37"/>
  <c r="Y40" i="37" s="1"/>
  <c r="R49" i="46"/>
  <c r="V49" i="47"/>
  <c r="Z34" i="37"/>
  <c r="X34" i="38"/>
  <c r="Y34" i="38" s="1"/>
  <c r="X56" i="37"/>
  <c r="Y56" i="37" s="1"/>
  <c r="Z56" i="36"/>
  <c r="AG27" i="21"/>
  <c r="X74" i="21"/>
  <c r="U66" i="51"/>
  <c r="I61" i="50"/>
  <c r="U27" i="47"/>
  <c r="I22" i="46"/>
  <c r="X63" i="37"/>
  <c r="Y63" i="37" s="1"/>
  <c r="Z63" i="36"/>
  <c r="X38" i="37"/>
  <c r="Y38" i="37" s="1"/>
  <c r="Z38" i="36"/>
  <c r="U31" i="47"/>
  <c r="I26" i="46"/>
  <c r="X29" i="37"/>
  <c r="Y29" i="37" s="1"/>
  <c r="Z29" i="36"/>
  <c r="H11" i="38"/>
  <c r="T16" i="39"/>
  <c r="H11" i="39" s="1"/>
  <c r="Z44" i="37"/>
  <c r="X44" i="38"/>
  <c r="Y44" i="38" s="1"/>
  <c r="Z43" i="38"/>
  <c r="X43" i="39"/>
  <c r="Y43" i="39" s="1"/>
  <c r="X31" i="40"/>
  <c r="Y31" i="40" s="1"/>
  <c r="Z31" i="39"/>
  <c r="U39" i="51"/>
  <c r="I34" i="50"/>
  <c r="U61" i="47"/>
  <c r="I56" i="46"/>
  <c r="X55" i="39"/>
  <c r="Y55" i="39" s="1"/>
  <c r="Z55" i="38"/>
  <c r="X21" i="39"/>
  <c r="Y21" i="39" s="1"/>
  <c r="Z21" i="38"/>
  <c r="V58" i="47"/>
  <c r="R58" i="46"/>
  <c r="U18" i="51"/>
  <c r="I13" i="50"/>
  <c r="Z62" i="38"/>
  <c r="X62" i="39"/>
  <c r="Y62" i="39" s="1"/>
  <c r="R65" i="46"/>
  <c r="V65" i="47"/>
  <c r="Z65" i="46"/>
  <c r="U49" i="50"/>
  <c r="I44" i="49"/>
  <c r="V42" i="54"/>
  <c r="R42" i="53"/>
  <c r="X61" i="38"/>
  <c r="Y61" i="38" s="1"/>
  <c r="Z61" i="37"/>
  <c r="V66" i="47"/>
  <c r="R66" i="46"/>
  <c r="U42" i="48"/>
  <c r="I37" i="47"/>
  <c r="U17" i="48"/>
  <c r="I12" i="47"/>
  <c r="X60" i="38"/>
  <c r="Y60" i="38" s="1"/>
  <c r="Z60" i="37"/>
  <c r="I54" i="51"/>
  <c r="U59" i="52"/>
  <c r="Z54" i="38"/>
  <c r="X54" i="39"/>
  <c r="Y54" i="39" s="1"/>
  <c r="U53" i="47"/>
  <c r="I48" i="46"/>
  <c r="Z52" i="37"/>
  <c r="X52" i="38"/>
  <c r="Y52" i="38" s="1"/>
  <c r="Z14" i="36"/>
  <c r="X14" i="37"/>
  <c r="Y14" i="37" s="1"/>
  <c r="U72" i="39"/>
  <c r="V70" i="39"/>
  <c r="Z72" i="39"/>
  <c r="I62" i="40"/>
  <c r="U67" i="46"/>
  <c r="H27" i="37"/>
  <c r="T32" i="38"/>
  <c r="X57" i="40"/>
  <c r="Y57" i="40" s="1"/>
  <c r="Z57" i="39"/>
  <c r="U52" i="51"/>
  <c r="I47" i="50"/>
  <c r="X62" i="40" l="1"/>
  <c r="Y62" i="40" s="1"/>
  <c r="Z62" i="39"/>
  <c r="Z31" i="40"/>
  <c r="X31" i="46"/>
  <c r="Y31" i="46" s="1"/>
  <c r="X54" i="40"/>
  <c r="Y54" i="40" s="1"/>
  <c r="Z54" i="39"/>
  <c r="X29" i="38"/>
  <c r="Y29" i="38" s="1"/>
  <c r="Z29" i="37"/>
  <c r="Z64" i="37"/>
  <c r="X64" i="38"/>
  <c r="Y64" i="38" s="1"/>
  <c r="I21" i="56"/>
  <c r="U26" i="57"/>
  <c r="I21" i="57" s="1"/>
  <c r="X23" i="38"/>
  <c r="Y23" i="38" s="1"/>
  <c r="Z23" i="37"/>
  <c r="V42" i="55"/>
  <c r="R42" i="54"/>
  <c r="X27" i="39"/>
  <c r="Y27" i="39" s="1"/>
  <c r="Z27" i="38"/>
  <c r="V67" i="48"/>
  <c r="R67" i="47"/>
  <c r="Z67" i="47"/>
  <c r="Z39" i="39"/>
  <c r="X39" i="40"/>
  <c r="Y39" i="40" s="1"/>
  <c r="V59" i="48"/>
  <c r="R59" i="47"/>
  <c r="R60" i="47"/>
  <c r="V60" i="48"/>
  <c r="X17" i="38"/>
  <c r="Y17" i="38" s="1"/>
  <c r="Z17" i="37"/>
  <c r="I61" i="51"/>
  <c r="U66" i="52"/>
  <c r="AA87" i="21"/>
  <c r="AA88" i="20"/>
  <c r="AF14" i="20" s="1"/>
  <c r="X37" i="38"/>
  <c r="Y37" i="38" s="1"/>
  <c r="Z37" i="37"/>
  <c r="I56" i="47"/>
  <c r="U61" i="48"/>
  <c r="U65" i="46"/>
  <c r="I60" i="40"/>
  <c r="U51" i="47"/>
  <c r="I46" i="46"/>
  <c r="X42" i="48"/>
  <c r="Y42" i="48" s="1"/>
  <c r="Z42" i="47"/>
  <c r="U29" i="47"/>
  <c r="I24" i="46"/>
  <c r="V56" i="48"/>
  <c r="R56" i="47"/>
  <c r="X28" i="40"/>
  <c r="Y28" i="40" s="1"/>
  <c r="Z28" i="39"/>
  <c r="U43" i="48"/>
  <c r="I38" i="47"/>
  <c r="U57" i="51"/>
  <c r="I52" i="50"/>
  <c r="X61" i="39"/>
  <c r="Y61" i="39" s="1"/>
  <c r="Z61" i="38"/>
  <c r="I47" i="51"/>
  <c r="U52" i="52"/>
  <c r="Z43" i="39"/>
  <c r="X43" i="40"/>
  <c r="Y43" i="40" s="1"/>
  <c r="I22" i="47"/>
  <c r="U27" i="48"/>
  <c r="H22" i="38"/>
  <c r="T27" i="39"/>
  <c r="H22" i="39" s="1"/>
  <c r="R33" i="56"/>
  <c r="V33" i="57"/>
  <c r="X25" i="38"/>
  <c r="Y25" i="38" s="1"/>
  <c r="Z25" i="37"/>
  <c r="Z51" i="39"/>
  <c r="X51" i="40"/>
  <c r="Y51" i="40" s="1"/>
  <c r="X55" i="40"/>
  <c r="Y55" i="40" s="1"/>
  <c r="Z55" i="39"/>
  <c r="Z20" i="49"/>
  <c r="X20" i="50"/>
  <c r="Y20" i="50" s="1"/>
  <c r="X24" i="46"/>
  <c r="Y24" i="46" s="1"/>
  <c r="Z24" i="40"/>
  <c r="X57" i="46"/>
  <c r="Y57" i="46" s="1"/>
  <c r="Z57" i="40"/>
  <c r="U59" i="53"/>
  <c r="I54" i="52"/>
  <c r="I26" i="47"/>
  <c r="U31" i="48"/>
  <c r="V63" i="48"/>
  <c r="R63" i="47"/>
  <c r="X58" i="38"/>
  <c r="Y58" i="38" s="1"/>
  <c r="Z58" i="37"/>
  <c r="I28" i="48"/>
  <c r="U33" i="49"/>
  <c r="U49" i="51"/>
  <c r="I44" i="50"/>
  <c r="Z52" i="38"/>
  <c r="X52" i="39"/>
  <c r="Y52" i="39" s="1"/>
  <c r="R66" i="47"/>
  <c r="V66" i="48"/>
  <c r="X38" i="38"/>
  <c r="Y38" i="38" s="1"/>
  <c r="Z38" i="37"/>
  <c r="X40" i="38"/>
  <c r="Y40" i="38" s="1"/>
  <c r="Z40" i="37"/>
  <c r="U21" i="47"/>
  <c r="I16" i="46"/>
  <c r="U41" i="47"/>
  <c r="I36" i="46"/>
  <c r="Z19" i="39"/>
  <c r="X19" i="40"/>
  <c r="Y19" i="40" s="1"/>
  <c r="V73" i="55"/>
  <c r="Z73" i="54"/>
  <c r="Z35" i="38"/>
  <c r="X35" i="39"/>
  <c r="Y35" i="39" s="1"/>
  <c r="Z26" i="48"/>
  <c r="X26" i="49"/>
  <c r="Y26" i="49" s="1"/>
  <c r="U74" i="46"/>
  <c r="R68" i="46"/>
  <c r="V72" i="46"/>
  <c r="U73" i="46"/>
  <c r="Z50" i="37"/>
  <c r="X50" i="38"/>
  <c r="Y50" i="38" s="1"/>
  <c r="I30" i="47"/>
  <c r="U35" i="48"/>
  <c r="I50" i="40"/>
  <c r="U55" i="46"/>
  <c r="U38" i="51"/>
  <c r="I33" i="50"/>
  <c r="I48" i="47"/>
  <c r="U53" i="48"/>
  <c r="U42" i="49"/>
  <c r="I37" i="48"/>
  <c r="V70" i="40"/>
  <c r="U72" i="40"/>
  <c r="Z72" i="40"/>
  <c r="X14" i="38"/>
  <c r="Y14" i="38" s="1"/>
  <c r="Z14" i="37"/>
  <c r="I13" i="51"/>
  <c r="U18" i="52"/>
  <c r="X44" i="39"/>
  <c r="Y44" i="39" s="1"/>
  <c r="Z44" i="38"/>
  <c r="V49" i="48"/>
  <c r="R49" i="47"/>
  <c r="X53" i="39"/>
  <c r="Y53" i="39" s="1"/>
  <c r="Z53" i="38"/>
  <c r="U25" i="50"/>
  <c r="I20" i="49"/>
  <c r="H27" i="38"/>
  <c r="T32" i="39"/>
  <c r="H27" i="39" s="1"/>
  <c r="U67" i="47"/>
  <c r="I62" i="46"/>
  <c r="X60" i="39"/>
  <c r="Y60" i="39" s="1"/>
  <c r="X60" i="40" s="1"/>
  <c r="Y60" i="40" s="1"/>
  <c r="Z60" i="38"/>
  <c r="V65" i="48"/>
  <c r="R65" i="47"/>
  <c r="Z65" i="47"/>
  <c r="R58" i="47"/>
  <c r="V58" i="48"/>
  <c r="U39" i="52"/>
  <c r="I34" i="51"/>
  <c r="X32" i="48"/>
  <c r="Y32" i="48" s="1"/>
  <c r="Z32" i="47"/>
  <c r="AA84" i="21"/>
  <c r="AA86" i="21" s="1"/>
  <c r="V78" i="21"/>
  <c r="V79" i="21" s="1"/>
  <c r="Y70" i="21"/>
  <c r="Z15" i="37"/>
  <c r="X15" i="38"/>
  <c r="Y15" i="38" s="1"/>
  <c r="U19" i="47"/>
  <c r="I14" i="46"/>
  <c r="X41" i="39"/>
  <c r="Y41" i="39" s="1"/>
  <c r="Z41" i="38"/>
  <c r="Z16" i="40"/>
  <c r="X16" i="46"/>
  <c r="Y16" i="46" s="1"/>
  <c r="X36" i="40"/>
  <c r="Y36" i="40" s="1"/>
  <c r="Z36" i="39"/>
  <c r="X22" i="38"/>
  <c r="Y22" i="38" s="1"/>
  <c r="Z22" i="37"/>
  <c r="X63" i="38"/>
  <c r="Y63" i="38" s="1"/>
  <c r="Z63" i="37"/>
  <c r="X56" i="38"/>
  <c r="Y56" i="38" s="1"/>
  <c r="Z56" i="37"/>
  <c r="X59" i="39"/>
  <c r="Y59" i="39" s="1"/>
  <c r="X59" i="40" s="1"/>
  <c r="Y59" i="40" s="1"/>
  <c r="Z59" i="38"/>
  <c r="Y13" i="22"/>
  <c r="X68" i="22"/>
  <c r="X74" i="22" s="1"/>
  <c r="Y12" i="24"/>
  <c r="X49" i="46"/>
  <c r="Y49" i="46" s="1"/>
  <c r="Z49" i="40"/>
  <c r="X30" i="38"/>
  <c r="Y30" i="38" s="1"/>
  <c r="Z30" i="37"/>
  <c r="X33" i="38"/>
  <c r="Y33" i="38" s="1"/>
  <c r="Z33" i="37"/>
  <c r="V36" i="48"/>
  <c r="R35" i="47"/>
  <c r="R36" i="47"/>
  <c r="AA81" i="54"/>
  <c r="AF16" i="54" s="1"/>
  <c r="AA80" i="55"/>
  <c r="I12" i="48"/>
  <c r="U17" i="49"/>
  <c r="Z21" i="39"/>
  <c r="X21" i="40"/>
  <c r="Y21" i="40" s="1"/>
  <c r="Z34" i="38"/>
  <c r="X34" i="39"/>
  <c r="Y34" i="39" s="1"/>
  <c r="U37" i="47"/>
  <c r="I32" i="46"/>
  <c r="X66" i="38"/>
  <c r="Y66" i="38" s="1"/>
  <c r="Z66" i="37"/>
  <c r="V29" i="48"/>
  <c r="R29" i="47"/>
  <c r="V68" i="47"/>
  <c r="X18" i="40"/>
  <c r="Y18" i="40" s="1"/>
  <c r="Z18" i="39"/>
  <c r="I10" i="47"/>
  <c r="U15" i="48"/>
  <c r="I58" i="40"/>
  <c r="U63" i="46"/>
  <c r="AA77" i="55"/>
  <c r="AA79" i="55" s="1"/>
  <c r="X72" i="56"/>
  <c r="Y72" i="56" s="1"/>
  <c r="I18" i="51"/>
  <c r="U23" i="52"/>
  <c r="U28" i="48"/>
  <c r="I23" i="47"/>
  <c r="V73" i="56" l="1"/>
  <c r="Z73" i="55"/>
  <c r="X24" i="47"/>
  <c r="Y24" i="47" s="1"/>
  <c r="Z24" i="46"/>
  <c r="I24" i="47"/>
  <c r="U29" i="48"/>
  <c r="U31" i="49"/>
  <c r="I26" i="48"/>
  <c r="U15" i="49"/>
  <c r="I10" i="48"/>
  <c r="Z44" i="39"/>
  <c r="X44" i="40"/>
  <c r="Y44" i="40" s="1"/>
  <c r="U33" i="50"/>
  <c r="I28" i="49"/>
  <c r="I47" i="52"/>
  <c r="U52" i="53"/>
  <c r="X23" i="39"/>
  <c r="Y23" i="39" s="1"/>
  <c r="Z23" i="38"/>
  <c r="U23" i="53"/>
  <c r="I18" i="52"/>
  <c r="X66" i="39"/>
  <c r="Y66" i="39" s="1"/>
  <c r="Z66" i="38"/>
  <c r="X33" i="39"/>
  <c r="Y33" i="39" s="1"/>
  <c r="Z33" i="38"/>
  <c r="Z13" i="22"/>
  <c r="Z68" i="22" s="1"/>
  <c r="Z74" i="22" s="1"/>
  <c r="Z70" i="22" s="1"/>
  <c r="X13" i="23"/>
  <c r="Y68" i="22"/>
  <c r="X22" i="39"/>
  <c r="Y22" i="39" s="1"/>
  <c r="Z22" i="38"/>
  <c r="I14" i="47"/>
  <c r="U19" i="48"/>
  <c r="Z32" i="48"/>
  <c r="X32" i="49"/>
  <c r="Y32" i="49" s="1"/>
  <c r="V65" i="49"/>
  <c r="R65" i="48"/>
  <c r="Z65" i="48"/>
  <c r="U25" i="51"/>
  <c r="I20" i="50"/>
  <c r="I13" i="52"/>
  <c r="U18" i="53"/>
  <c r="U42" i="50"/>
  <c r="I37" i="49"/>
  <c r="X28" i="46"/>
  <c r="Y28" i="46" s="1"/>
  <c r="Z28" i="40"/>
  <c r="V67" i="49"/>
  <c r="R67" i="48"/>
  <c r="Z67" i="48"/>
  <c r="X31" i="47"/>
  <c r="Y31" i="47" s="1"/>
  <c r="Z31" i="46"/>
  <c r="U63" i="47"/>
  <c r="I58" i="46"/>
  <c r="X25" i="39"/>
  <c r="Y25" i="39" s="1"/>
  <c r="Z25" i="38"/>
  <c r="X29" i="39"/>
  <c r="Y29" i="39" s="1"/>
  <c r="Z29" i="38"/>
  <c r="V36" i="49"/>
  <c r="R35" i="48"/>
  <c r="R36" i="48"/>
  <c r="AA87" i="22"/>
  <c r="AA88" i="21"/>
  <c r="I38" i="48"/>
  <c r="U43" i="49"/>
  <c r="I30" i="48"/>
  <c r="U35" i="49"/>
  <c r="Z54" i="40"/>
  <c r="X54" i="46"/>
  <c r="Y54" i="46" s="1"/>
  <c r="X15" i="39"/>
  <c r="Y15" i="39" s="1"/>
  <c r="Z15" i="38"/>
  <c r="I48" i="48"/>
  <c r="U53" i="49"/>
  <c r="Z50" i="38"/>
  <c r="X50" i="39"/>
  <c r="Y50" i="39" s="1"/>
  <c r="X35" i="40"/>
  <c r="Y35" i="40" s="1"/>
  <c r="Z35" i="39"/>
  <c r="U41" i="48"/>
  <c r="I36" i="47"/>
  <c r="V66" i="49"/>
  <c r="R66" i="48"/>
  <c r="I54" i="53"/>
  <c r="U59" i="54"/>
  <c r="X55" i="46"/>
  <c r="Y55" i="46" s="1"/>
  <c r="Z55" i="40"/>
  <c r="I46" i="47"/>
  <c r="U51" i="48"/>
  <c r="V49" i="49"/>
  <c r="R49" i="48"/>
  <c r="U55" i="47"/>
  <c r="I50" i="46"/>
  <c r="V63" i="49"/>
  <c r="R63" i="48"/>
  <c r="V42" i="56"/>
  <c r="R42" i="55"/>
  <c r="Z41" i="39"/>
  <c r="X41" i="40"/>
  <c r="Y41" i="40" s="1"/>
  <c r="Z19" i="40"/>
  <c r="X19" i="46"/>
  <c r="Y19" i="46" s="1"/>
  <c r="Z26" i="49"/>
  <c r="X26" i="50"/>
  <c r="Y26" i="50" s="1"/>
  <c r="R33" i="57"/>
  <c r="X42" i="49"/>
  <c r="Y42" i="49" s="1"/>
  <c r="Z42" i="48"/>
  <c r="V60" i="49"/>
  <c r="R60" i="48"/>
  <c r="X72" i="57"/>
  <c r="Y72" i="57" s="1"/>
  <c r="AA77" i="56"/>
  <c r="AA79" i="56" s="1"/>
  <c r="Z18" i="40"/>
  <c r="X18" i="46"/>
  <c r="Y18" i="46" s="1"/>
  <c r="I32" i="47"/>
  <c r="U37" i="48"/>
  <c r="X30" i="39"/>
  <c r="Y30" i="39" s="1"/>
  <c r="Z30" i="38"/>
  <c r="X59" i="46"/>
  <c r="Y59" i="46" s="1"/>
  <c r="Z59" i="40"/>
  <c r="X36" i="46"/>
  <c r="Y36" i="46" s="1"/>
  <c r="Z36" i="40"/>
  <c r="U39" i="53"/>
  <c r="I34" i="52"/>
  <c r="X60" i="46"/>
  <c r="Y60" i="46" s="1"/>
  <c r="Z60" i="40"/>
  <c r="Z53" i="39"/>
  <c r="X53" i="40"/>
  <c r="Y53" i="40" s="1"/>
  <c r="X58" i="39"/>
  <c r="Y58" i="39" s="1"/>
  <c r="X58" i="40" s="1"/>
  <c r="Y58" i="40" s="1"/>
  <c r="Z58" i="38"/>
  <c r="X51" i="46"/>
  <c r="Y51" i="46" s="1"/>
  <c r="Z51" i="40"/>
  <c r="X61" i="40"/>
  <c r="Y61" i="40" s="1"/>
  <c r="Z61" i="39"/>
  <c r="U66" i="53"/>
  <c r="I61" i="52"/>
  <c r="X27" i="40"/>
  <c r="Y27" i="40" s="1"/>
  <c r="Z27" i="39"/>
  <c r="Z64" i="38"/>
  <c r="X64" i="39"/>
  <c r="Y64" i="39" s="1"/>
  <c r="Z21" i="40"/>
  <c r="X21" i="46"/>
  <c r="Y21" i="46" s="1"/>
  <c r="X40" i="39"/>
  <c r="Y40" i="39" s="1"/>
  <c r="Z40" i="38"/>
  <c r="Z43" i="40"/>
  <c r="X43" i="46"/>
  <c r="Y43" i="46" s="1"/>
  <c r="R29" i="48"/>
  <c r="V29" i="49"/>
  <c r="V68" i="48"/>
  <c r="X63" i="39"/>
  <c r="Y63" i="39" s="1"/>
  <c r="Z63" i="38"/>
  <c r="I44" i="51"/>
  <c r="U49" i="52"/>
  <c r="U28" i="49"/>
  <c r="I23" i="48"/>
  <c r="U17" i="50"/>
  <c r="I12" i="49"/>
  <c r="X38" i="39"/>
  <c r="Y38" i="39" s="1"/>
  <c r="Z38" i="38"/>
  <c r="U74" i="47"/>
  <c r="V72" i="47"/>
  <c r="R68" i="47"/>
  <c r="U73" i="47"/>
  <c r="Z34" i="39"/>
  <c r="X34" i="40"/>
  <c r="Y34" i="40" s="1"/>
  <c r="X16" i="47"/>
  <c r="Y16" i="47" s="1"/>
  <c r="Z16" i="46"/>
  <c r="Z14" i="38"/>
  <c r="X14" i="39"/>
  <c r="Y14" i="39" s="1"/>
  <c r="U21" i="48"/>
  <c r="I16" i="47"/>
  <c r="Z52" i="39"/>
  <c r="X52" i="40"/>
  <c r="Y52" i="40" s="1"/>
  <c r="X57" i="47"/>
  <c r="Y57" i="47" s="1"/>
  <c r="Z57" i="46"/>
  <c r="I22" i="48"/>
  <c r="U27" i="49"/>
  <c r="V56" i="49"/>
  <c r="R56" i="48"/>
  <c r="U65" i="47"/>
  <c r="I60" i="46"/>
  <c r="R59" i="48"/>
  <c r="V59" i="49"/>
  <c r="Z62" i="40"/>
  <c r="X62" i="46"/>
  <c r="Y62" i="46" s="1"/>
  <c r="X12" i="25"/>
  <c r="Z12" i="24"/>
  <c r="X17" i="39"/>
  <c r="Y17" i="39" s="1"/>
  <c r="Z17" i="38"/>
  <c r="X20" i="51"/>
  <c r="Y20" i="51" s="1"/>
  <c r="Z20" i="50"/>
  <c r="X37" i="39"/>
  <c r="Y37" i="39" s="1"/>
  <c r="Z37" i="38"/>
  <c r="AA80" i="56"/>
  <c r="AA81" i="55"/>
  <c r="AF16" i="55" s="1"/>
  <c r="X49" i="47"/>
  <c r="Y49" i="47" s="1"/>
  <c r="Z49" i="46"/>
  <c r="X56" i="39"/>
  <c r="Y56" i="39" s="1"/>
  <c r="Z56" i="38"/>
  <c r="V58" i="49"/>
  <c r="R58" i="48"/>
  <c r="I62" i="47"/>
  <c r="U67" i="48"/>
  <c r="U38" i="52"/>
  <c r="I33" i="51"/>
  <c r="V70" i="46"/>
  <c r="U72" i="46"/>
  <c r="Z72" i="46"/>
  <c r="I52" i="51"/>
  <c r="U57" i="52"/>
  <c r="I56" i="48"/>
  <c r="U61" i="49"/>
  <c r="X39" i="46"/>
  <c r="Y39" i="46" s="1"/>
  <c r="Z39" i="40"/>
  <c r="X57" i="48" l="1"/>
  <c r="Y57" i="48" s="1"/>
  <c r="Z57" i="47"/>
  <c r="X63" i="40"/>
  <c r="Y63" i="40" s="1"/>
  <c r="Z63" i="39"/>
  <c r="X52" i="46"/>
  <c r="Y52" i="46" s="1"/>
  <c r="Z52" i="40"/>
  <c r="X21" i="47"/>
  <c r="Y21" i="47" s="1"/>
  <c r="Z21" i="46"/>
  <c r="V42" i="57"/>
  <c r="R42" i="56"/>
  <c r="U53" i="50"/>
  <c r="I48" i="49"/>
  <c r="U31" i="50"/>
  <c r="I26" i="49"/>
  <c r="R58" i="49"/>
  <c r="V58" i="50"/>
  <c r="X37" i="40"/>
  <c r="Y37" i="40" s="1"/>
  <c r="Z37" i="39"/>
  <c r="I12" i="50"/>
  <c r="U17" i="51"/>
  <c r="Z61" i="40"/>
  <c r="X61" i="46"/>
  <c r="Y61" i="46" s="1"/>
  <c r="X60" i="47"/>
  <c r="Y60" i="47" s="1"/>
  <c r="Z60" i="46"/>
  <c r="Z30" i="39"/>
  <c r="X30" i="40"/>
  <c r="Y30" i="40" s="1"/>
  <c r="I46" i="48"/>
  <c r="U51" i="49"/>
  <c r="V66" i="50"/>
  <c r="R66" i="49"/>
  <c r="X29" i="40"/>
  <c r="Y29" i="40" s="1"/>
  <c r="Z29" i="39"/>
  <c r="I24" i="48"/>
  <c r="U29" i="49"/>
  <c r="X39" i="47"/>
  <c r="Y39" i="47" s="1"/>
  <c r="Z39" i="46"/>
  <c r="Z62" i="46"/>
  <c r="X62" i="47"/>
  <c r="Y62" i="47" s="1"/>
  <c r="V29" i="50"/>
  <c r="R29" i="49"/>
  <c r="V68" i="49"/>
  <c r="Z64" i="39"/>
  <c r="X64" i="40"/>
  <c r="Y64" i="40" s="1"/>
  <c r="I32" i="48"/>
  <c r="U37" i="49"/>
  <c r="X19" i="47"/>
  <c r="Y19" i="47" s="1"/>
  <c r="Z19" i="46"/>
  <c r="V67" i="50"/>
  <c r="R67" i="49"/>
  <c r="Z67" i="49"/>
  <c r="I20" i="51"/>
  <c r="U25" i="52"/>
  <c r="X66" i="40"/>
  <c r="Y66" i="40" s="1"/>
  <c r="Z66" i="39"/>
  <c r="U33" i="51"/>
  <c r="I28" i="50"/>
  <c r="Z44" i="40"/>
  <c r="X44" i="46"/>
  <c r="Y44" i="46" s="1"/>
  <c r="Z38" i="39"/>
  <c r="X38" i="40"/>
  <c r="Y38" i="40" s="1"/>
  <c r="U65" i="48"/>
  <c r="I60" i="47"/>
  <c r="X26" i="51"/>
  <c r="Y26" i="51" s="1"/>
  <c r="Z26" i="50"/>
  <c r="R49" i="49"/>
  <c r="V49" i="50"/>
  <c r="I14" i="48"/>
  <c r="U19" i="49"/>
  <c r="X56" i="40"/>
  <c r="Y56" i="40" s="1"/>
  <c r="Z56" i="39"/>
  <c r="Z58" i="39" s="1"/>
  <c r="I16" i="48"/>
  <c r="U21" i="49"/>
  <c r="Z51" i="46"/>
  <c r="X51" i="47"/>
  <c r="Y51" i="47" s="1"/>
  <c r="U39" i="54"/>
  <c r="I34" i="53"/>
  <c r="V60" i="50"/>
  <c r="R60" i="49"/>
  <c r="V63" i="50"/>
  <c r="R63" i="49"/>
  <c r="I36" i="48"/>
  <c r="U41" i="49"/>
  <c r="Z15" i="39"/>
  <c r="X15" i="40"/>
  <c r="Y15" i="40" s="1"/>
  <c r="Z25" i="39"/>
  <c r="X25" i="40"/>
  <c r="Y25" i="40" s="1"/>
  <c r="X22" i="40"/>
  <c r="Y22" i="40" s="1"/>
  <c r="Z22" i="39"/>
  <c r="Z20" i="51"/>
  <c r="X20" i="52"/>
  <c r="Y20" i="52" s="1"/>
  <c r="U27" i="50"/>
  <c r="I22" i="49"/>
  <c r="X14" i="40"/>
  <c r="Y14" i="40" s="1"/>
  <c r="Z14" i="39"/>
  <c r="V70" i="47"/>
  <c r="U72" i="47"/>
  <c r="Z72" i="47"/>
  <c r="U49" i="53"/>
  <c r="I44" i="52"/>
  <c r="Z43" i="46"/>
  <c r="X43" i="47"/>
  <c r="Y43" i="47" s="1"/>
  <c r="Z18" i="46"/>
  <c r="X18" i="47"/>
  <c r="Y18" i="47" s="1"/>
  <c r="Z41" i="40"/>
  <c r="X41" i="46"/>
  <c r="Y41" i="46" s="1"/>
  <c r="X55" i="47"/>
  <c r="Y55" i="47" s="1"/>
  <c r="Z55" i="46"/>
  <c r="Z54" i="46"/>
  <c r="X54" i="47"/>
  <c r="Y54" i="47" s="1"/>
  <c r="X28" i="47"/>
  <c r="Y28" i="47" s="1"/>
  <c r="Z28" i="46"/>
  <c r="AG27" i="22"/>
  <c r="Y74" i="22"/>
  <c r="U23" i="54"/>
  <c r="I18" i="53"/>
  <c r="Z24" i="47"/>
  <c r="X24" i="48"/>
  <c r="Y24" i="48" s="1"/>
  <c r="R68" i="48"/>
  <c r="U74" i="48"/>
  <c r="V72" i="48"/>
  <c r="U73" i="48"/>
  <c r="U43" i="50"/>
  <c r="I38" i="49"/>
  <c r="U67" i="49"/>
  <c r="I62" i="48"/>
  <c r="X58" i="46"/>
  <c r="Y58" i="46" s="1"/>
  <c r="Z58" i="40"/>
  <c r="I54" i="54"/>
  <c r="U59" i="55"/>
  <c r="Z40" i="39"/>
  <c r="X40" i="40"/>
  <c r="Y40" i="40" s="1"/>
  <c r="Y12" i="25"/>
  <c r="Z34" i="40"/>
  <c r="X34" i="46"/>
  <c r="Y34" i="46" s="1"/>
  <c r="X33" i="40"/>
  <c r="Y33" i="40" s="1"/>
  <c r="Z33" i="39"/>
  <c r="I56" i="49"/>
  <c r="U61" i="50"/>
  <c r="U38" i="53"/>
  <c r="I33" i="52"/>
  <c r="R56" i="49"/>
  <c r="V56" i="50"/>
  <c r="U28" i="50"/>
  <c r="I23" i="49"/>
  <c r="U57" i="53"/>
  <c r="I52" i="52"/>
  <c r="X49" i="48"/>
  <c r="Y49" i="48" s="1"/>
  <c r="Z49" i="47"/>
  <c r="V59" i="50"/>
  <c r="R59" i="49"/>
  <c r="Z27" i="40"/>
  <c r="X27" i="46"/>
  <c r="Y27" i="46" s="1"/>
  <c r="X36" i="47"/>
  <c r="Y36" i="47" s="1"/>
  <c r="Z36" i="46"/>
  <c r="X42" i="50"/>
  <c r="Y42" i="50" s="1"/>
  <c r="Z42" i="49"/>
  <c r="U55" i="48"/>
  <c r="I50" i="47"/>
  <c r="X35" i="46"/>
  <c r="Y35" i="46" s="1"/>
  <c r="Z35" i="40"/>
  <c r="I58" i="47"/>
  <c r="U63" i="48"/>
  <c r="V65" i="50"/>
  <c r="R65" i="49"/>
  <c r="Z65" i="49"/>
  <c r="Y13" i="23"/>
  <c r="X68" i="23"/>
  <c r="X74" i="23" s="1"/>
  <c r="X17" i="40"/>
  <c r="Y17" i="40" s="1"/>
  <c r="Z17" i="39"/>
  <c r="Z53" i="40"/>
  <c r="X53" i="46"/>
  <c r="Y53" i="46" s="1"/>
  <c r="AA80" i="57"/>
  <c r="AA81" i="56"/>
  <c r="AF16" i="56" s="1"/>
  <c r="Z50" i="39"/>
  <c r="X50" i="40"/>
  <c r="Y50" i="40" s="1"/>
  <c r="U35" i="50"/>
  <c r="I30" i="49"/>
  <c r="U42" i="51"/>
  <c r="I37" i="50"/>
  <c r="X32" i="50"/>
  <c r="Y32" i="50" s="1"/>
  <c r="Z32" i="49"/>
  <c r="X23" i="40"/>
  <c r="Y23" i="40" s="1"/>
  <c r="Z23" i="39"/>
  <c r="U15" i="50"/>
  <c r="I10" i="49"/>
  <c r="Z16" i="47"/>
  <c r="X16" i="48"/>
  <c r="Y16" i="48" s="1"/>
  <c r="U66" i="54"/>
  <c r="I61" i="53"/>
  <c r="X59" i="47"/>
  <c r="Y59" i="47" s="1"/>
  <c r="Z59" i="46"/>
  <c r="AA77" i="57"/>
  <c r="AA79" i="57" s="1"/>
  <c r="V36" i="50"/>
  <c r="R35" i="49"/>
  <c r="R36" i="49"/>
  <c r="Z31" i="47"/>
  <c r="X31" i="48"/>
  <c r="Y31" i="48" s="1"/>
  <c r="U18" i="54"/>
  <c r="I13" i="53"/>
  <c r="U52" i="54"/>
  <c r="I47" i="53"/>
  <c r="V73" i="57"/>
  <c r="Z73" i="56"/>
  <c r="Z16" i="48" l="1"/>
  <c r="X16" i="49"/>
  <c r="Y16" i="49" s="1"/>
  <c r="X42" i="51"/>
  <c r="Y42" i="51" s="1"/>
  <c r="Z42" i="50"/>
  <c r="X64" i="46"/>
  <c r="Y64" i="46" s="1"/>
  <c r="Z64" i="40"/>
  <c r="V66" i="51"/>
  <c r="R66" i="50"/>
  <c r="AA81" i="57"/>
  <c r="AF16" i="57" s="1"/>
  <c r="I37" i="51"/>
  <c r="U42" i="52"/>
  <c r="U63" i="49"/>
  <c r="I58" i="48"/>
  <c r="X49" i="49"/>
  <c r="Y49" i="49" s="1"/>
  <c r="Z49" i="48"/>
  <c r="X58" i="47"/>
  <c r="Y58" i="47" s="1"/>
  <c r="Z58" i="46"/>
  <c r="Z18" i="47"/>
  <c r="X18" i="48"/>
  <c r="Y18" i="48" s="1"/>
  <c r="X22" i="46"/>
  <c r="Y22" i="46" s="1"/>
  <c r="Z22" i="40"/>
  <c r="R49" i="50"/>
  <c r="V49" i="51"/>
  <c r="Z44" i="46"/>
  <c r="X44" i="47"/>
  <c r="Y44" i="47" s="1"/>
  <c r="Z39" i="47"/>
  <c r="X39" i="48"/>
  <c r="Y39" i="48" s="1"/>
  <c r="I46" i="49"/>
  <c r="U51" i="50"/>
  <c r="I12" i="51"/>
  <c r="U17" i="52"/>
  <c r="X21" i="48"/>
  <c r="Y21" i="48" s="1"/>
  <c r="Z21" i="47"/>
  <c r="U18" i="55"/>
  <c r="I13" i="54"/>
  <c r="X36" i="48"/>
  <c r="Y36" i="48" s="1"/>
  <c r="Z36" i="47"/>
  <c r="I33" i="53"/>
  <c r="U38" i="54"/>
  <c r="X12" i="26"/>
  <c r="Z12" i="25"/>
  <c r="X28" i="48"/>
  <c r="Y28" i="48" s="1"/>
  <c r="Z28" i="47"/>
  <c r="Z25" i="40"/>
  <c r="X25" i="46"/>
  <c r="Y25" i="46" s="1"/>
  <c r="R63" i="50"/>
  <c r="V63" i="51"/>
  <c r="U21" i="50"/>
  <c r="I16" i="49"/>
  <c r="V72" i="49"/>
  <c r="R68" i="49"/>
  <c r="U74" i="49"/>
  <c r="U73" i="49"/>
  <c r="U29" i="50"/>
  <c r="I24" i="49"/>
  <c r="U31" i="51"/>
  <c r="I26" i="50"/>
  <c r="V36" i="51"/>
  <c r="R35" i="50"/>
  <c r="R36" i="50"/>
  <c r="V65" i="51"/>
  <c r="R65" i="50"/>
  <c r="Z65" i="50"/>
  <c r="X17" i="46"/>
  <c r="Y17" i="46" s="1"/>
  <c r="Z17" i="40"/>
  <c r="U57" i="54"/>
  <c r="I52" i="53"/>
  <c r="U67" i="50"/>
  <c r="I62" i="49"/>
  <c r="X14" i="46"/>
  <c r="Y14" i="46" s="1"/>
  <c r="Z14" i="40"/>
  <c r="X50" i="46"/>
  <c r="Y50" i="46" s="1"/>
  <c r="Z50" i="40"/>
  <c r="X35" i="47"/>
  <c r="Y35" i="47" s="1"/>
  <c r="Z35" i="46"/>
  <c r="X15" i="46"/>
  <c r="Y15" i="46" s="1"/>
  <c r="Z15" i="40"/>
  <c r="X26" i="52"/>
  <c r="Y26" i="52" s="1"/>
  <c r="Z26" i="51"/>
  <c r="I28" i="51"/>
  <c r="U33" i="52"/>
  <c r="I48" i="50"/>
  <c r="U53" i="51"/>
  <c r="Z31" i="48"/>
  <c r="X31" i="49"/>
  <c r="Y31" i="49" s="1"/>
  <c r="U35" i="51"/>
  <c r="I30" i="50"/>
  <c r="Z40" i="40"/>
  <c r="X40" i="46"/>
  <c r="Y40" i="46" s="1"/>
  <c r="Z54" i="47"/>
  <c r="X54" i="48"/>
  <c r="Y54" i="48" s="1"/>
  <c r="Z30" i="40"/>
  <c r="X30" i="46"/>
  <c r="Y30" i="46" s="1"/>
  <c r="X52" i="47"/>
  <c r="Y52" i="47" s="1"/>
  <c r="Z52" i="46"/>
  <c r="Z13" i="23"/>
  <c r="Z68" i="23" s="1"/>
  <c r="Z74" i="23" s="1"/>
  <c r="Z70" i="23" s="1"/>
  <c r="X13" i="24"/>
  <c r="Y68" i="23"/>
  <c r="Z19" i="47"/>
  <c r="X19" i="48"/>
  <c r="Y19" i="48" s="1"/>
  <c r="Z53" i="46"/>
  <c r="X53" i="47"/>
  <c r="Y53" i="47" s="1"/>
  <c r="Z51" i="47"/>
  <c r="X51" i="48"/>
  <c r="Y51" i="48" s="1"/>
  <c r="U15" i="51"/>
  <c r="I10" i="50"/>
  <c r="Z27" i="46"/>
  <c r="X27" i="47"/>
  <c r="Y27" i="47" s="1"/>
  <c r="U61" i="51"/>
  <c r="I56" i="50"/>
  <c r="Z24" i="48"/>
  <c r="X24" i="49"/>
  <c r="Y24" i="49" s="1"/>
  <c r="X43" i="48"/>
  <c r="Y43" i="48" s="1"/>
  <c r="Z43" i="47"/>
  <c r="V67" i="51"/>
  <c r="R67" i="50"/>
  <c r="Z67" i="50"/>
  <c r="X59" i="48"/>
  <c r="Y59" i="48" s="1"/>
  <c r="Z59" i="47"/>
  <c r="Z59" i="39"/>
  <c r="Z60" i="39" s="1"/>
  <c r="X23" i="46"/>
  <c r="Y23" i="46" s="1"/>
  <c r="Z23" i="40"/>
  <c r="U28" i="51"/>
  <c r="I23" i="50"/>
  <c r="U43" i="51"/>
  <c r="I38" i="50"/>
  <c r="U27" i="51"/>
  <c r="I22" i="50"/>
  <c r="V60" i="51"/>
  <c r="R60" i="50"/>
  <c r="X56" i="46"/>
  <c r="Y56" i="46" s="1"/>
  <c r="Z56" i="40"/>
  <c r="V29" i="51"/>
  <c r="R29" i="50"/>
  <c r="V68" i="50"/>
  <c r="X29" i="46"/>
  <c r="Y29" i="46" s="1"/>
  <c r="Z29" i="40"/>
  <c r="X37" i="46"/>
  <c r="Y37" i="46" s="1"/>
  <c r="Z37" i="40"/>
  <c r="X63" i="46"/>
  <c r="Y63" i="46" s="1"/>
  <c r="Z63" i="40"/>
  <c r="Z73" i="57"/>
  <c r="U55" i="49"/>
  <c r="I50" i="48"/>
  <c r="X33" i="46"/>
  <c r="Y33" i="46" s="1"/>
  <c r="Z33" i="40"/>
  <c r="I54" i="55"/>
  <c r="U59" i="56"/>
  <c r="U23" i="55"/>
  <c r="I18" i="54"/>
  <c r="X55" i="48"/>
  <c r="Y55" i="48" s="1"/>
  <c r="Z55" i="47"/>
  <c r="U49" i="54"/>
  <c r="I44" i="53"/>
  <c r="X20" i="53"/>
  <c r="Y20" i="53" s="1"/>
  <c r="Z20" i="52"/>
  <c r="U41" i="50"/>
  <c r="I36" i="49"/>
  <c r="U19" i="50"/>
  <c r="I14" i="49"/>
  <c r="U65" i="49"/>
  <c r="I60" i="48"/>
  <c r="X66" i="46"/>
  <c r="Y66" i="46" s="1"/>
  <c r="Z66" i="40"/>
  <c r="U37" i="50"/>
  <c r="I32" i="49"/>
  <c r="Z62" i="47"/>
  <c r="X62" i="48"/>
  <c r="Y62" i="48" s="1"/>
  <c r="X60" i="48"/>
  <c r="Y60" i="48" s="1"/>
  <c r="Z60" i="47"/>
  <c r="U52" i="55"/>
  <c r="I47" i="54"/>
  <c r="U66" i="55"/>
  <c r="I61" i="54"/>
  <c r="X32" i="51"/>
  <c r="Y32" i="51" s="1"/>
  <c r="Z32" i="50"/>
  <c r="V59" i="51"/>
  <c r="R59" i="50"/>
  <c r="V56" i="51"/>
  <c r="R56" i="50"/>
  <c r="Z34" i="46"/>
  <c r="X34" i="47"/>
  <c r="Y34" i="47" s="1"/>
  <c r="U72" i="48"/>
  <c r="V70" i="48"/>
  <c r="Z72" i="48"/>
  <c r="AA84" i="22"/>
  <c r="AA86" i="22" s="1"/>
  <c r="V78" i="22"/>
  <c r="V79" i="22" s="1"/>
  <c r="Y70" i="22"/>
  <c r="Z41" i="46"/>
  <c r="X41" i="47"/>
  <c r="Y41" i="47" s="1"/>
  <c r="U39" i="55"/>
  <c r="I34" i="54"/>
  <c r="Z38" i="40"/>
  <c r="X38" i="46"/>
  <c r="Y38" i="46" s="1"/>
  <c r="U25" i="53"/>
  <c r="I20" i="52"/>
  <c r="Z61" i="46"/>
  <c r="X61" i="47"/>
  <c r="Y61" i="47" s="1"/>
  <c r="R58" i="50"/>
  <c r="V58" i="51"/>
  <c r="R42" i="57"/>
  <c r="X57" i="49"/>
  <c r="Y57" i="49" s="1"/>
  <c r="Z57" i="48"/>
  <c r="X43" i="49" l="1"/>
  <c r="Y43" i="49" s="1"/>
  <c r="Z43" i="48"/>
  <c r="Y13" i="24"/>
  <c r="X68" i="24"/>
  <c r="X74" i="24" s="1"/>
  <c r="U33" i="53"/>
  <c r="I28" i="52"/>
  <c r="R66" i="51"/>
  <c r="V66" i="52"/>
  <c r="Z38" i="46"/>
  <c r="X38" i="47"/>
  <c r="Y38" i="47" s="1"/>
  <c r="I61" i="55"/>
  <c r="U66" i="56"/>
  <c r="U37" i="51"/>
  <c r="I32" i="50"/>
  <c r="U41" i="51"/>
  <c r="I36" i="50"/>
  <c r="U23" i="56"/>
  <c r="I18" i="55"/>
  <c r="Z24" i="49"/>
  <c r="X24" i="50"/>
  <c r="Y24" i="50" s="1"/>
  <c r="X51" i="49"/>
  <c r="Y51" i="49" s="1"/>
  <c r="Z51" i="48"/>
  <c r="Z50" i="46"/>
  <c r="X50" i="47"/>
  <c r="Y50" i="47" s="1"/>
  <c r="V36" i="52"/>
  <c r="R36" i="51"/>
  <c r="R35" i="51"/>
  <c r="U72" i="49"/>
  <c r="V70" i="49"/>
  <c r="Z72" i="49"/>
  <c r="X36" i="49"/>
  <c r="Y36" i="49" s="1"/>
  <c r="Z36" i="48"/>
  <c r="I50" i="49"/>
  <c r="U55" i="50"/>
  <c r="Z35" i="47"/>
  <c r="X35" i="48"/>
  <c r="Y35" i="48" s="1"/>
  <c r="V60" i="52"/>
  <c r="R60" i="51"/>
  <c r="Z40" i="46"/>
  <c r="X40" i="47"/>
  <c r="Y40" i="47" s="1"/>
  <c r="I46" i="50"/>
  <c r="U51" i="51"/>
  <c r="X49" i="50"/>
  <c r="Y49" i="50" s="1"/>
  <c r="Z49" i="49"/>
  <c r="AA87" i="23"/>
  <c r="AA88" i="22"/>
  <c r="AF14" i="22" s="1"/>
  <c r="V56" i="52"/>
  <c r="R56" i="51"/>
  <c r="U59" i="57"/>
  <c r="I54" i="57" s="1"/>
  <c r="I54" i="56"/>
  <c r="I22" i="51"/>
  <c r="U27" i="52"/>
  <c r="X17" i="47"/>
  <c r="Y17" i="47" s="1"/>
  <c r="Z17" i="46"/>
  <c r="X28" i="49"/>
  <c r="Y28" i="49" s="1"/>
  <c r="Z28" i="48"/>
  <c r="X39" i="49"/>
  <c r="Y39" i="49" s="1"/>
  <c r="Z39" i="48"/>
  <c r="X22" i="47"/>
  <c r="Y22" i="47" s="1"/>
  <c r="Z22" i="46"/>
  <c r="I58" i="49"/>
  <c r="U63" i="50"/>
  <c r="Z64" i="46"/>
  <c r="X64" i="47"/>
  <c r="Y64" i="47" s="1"/>
  <c r="Z57" i="49"/>
  <c r="X57" i="50"/>
  <c r="Y57" i="50" s="1"/>
  <c r="X32" i="52"/>
  <c r="Y32" i="52" s="1"/>
  <c r="Z32" i="51"/>
  <c r="U19" i="51"/>
  <c r="I14" i="50"/>
  <c r="X29" i="47"/>
  <c r="Y29" i="47" s="1"/>
  <c r="Z29" i="46"/>
  <c r="Z25" i="46"/>
  <c r="X25" i="47"/>
  <c r="Y25" i="47" s="1"/>
  <c r="U74" i="50"/>
  <c r="V72" i="50"/>
  <c r="R68" i="50"/>
  <c r="U73" i="50"/>
  <c r="R58" i="51"/>
  <c r="V58" i="52"/>
  <c r="X66" i="47"/>
  <c r="Y66" i="47" s="1"/>
  <c r="Z66" i="46"/>
  <c r="X63" i="47"/>
  <c r="Y63" i="47" s="1"/>
  <c r="Z63" i="46"/>
  <c r="Z53" i="47"/>
  <c r="X53" i="48"/>
  <c r="Y53" i="48" s="1"/>
  <c r="I30" i="51"/>
  <c r="U35" i="52"/>
  <c r="I26" i="51"/>
  <c r="U31" i="52"/>
  <c r="U21" i="51"/>
  <c r="I16" i="50"/>
  <c r="I13" i="55"/>
  <c r="U18" i="56"/>
  <c r="I37" i="52"/>
  <c r="U42" i="53"/>
  <c r="U39" i="56"/>
  <c r="I34" i="55"/>
  <c r="I38" i="51"/>
  <c r="U43" i="52"/>
  <c r="I56" i="51"/>
  <c r="U61" i="52"/>
  <c r="Z30" i="46"/>
  <c r="X30" i="47"/>
  <c r="Y30" i="47" s="1"/>
  <c r="X31" i="50"/>
  <c r="Y31" i="50" s="1"/>
  <c r="Z31" i="49"/>
  <c r="X14" i="47"/>
  <c r="Y14" i="47" s="1"/>
  <c r="Z14" i="46"/>
  <c r="Y12" i="26"/>
  <c r="X44" i="48"/>
  <c r="Y44" i="48" s="1"/>
  <c r="Z44" i="47"/>
  <c r="X42" i="52"/>
  <c r="Y42" i="52" s="1"/>
  <c r="Z42" i="51"/>
  <c r="X55" i="49"/>
  <c r="Y55" i="49" s="1"/>
  <c r="Z55" i="48"/>
  <c r="U25" i="54"/>
  <c r="I20" i="53"/>
  <c r="I10" i="51"/>
  <c r="U15" i="52"/>
  <c r="X20" i="54"/>
  <c r="Y20" i="54" s="1"/>
  <c r="Z20" i="53"/>
  <c r="R29" i="51"/>
  <c r="V29" i="52"/>
  <c r="V68" i="51"/>
  <c r="Z52" i="47"/>
  <c r="X52" i="48"/>
  <c r="Y52" i="48" s="1"/>
  <c r="V59" i="52"/>
  <c r="R59" i="51"/>
  <c r="U65" i="50"/>
  <c r="I60" i="49"/>
  <c r="X33" i="47"/>
  <c r="Y33" i="47" s="1"/>
  <c r="Z33" i="46"/>
  <c r="X56" i="47"/>
  <c r="Y56" i="47" s="1"/>
  <c r="Z56" i="46"/>
  <c r="Z27" i="47"/>
  <c r="X27" i="48"/>
  <c r="Y27" i="48" s="1"/>
  <c r="X19" i="49"/>
  <c r="Y19" i="49" s="1"/>
  <c r="Z19" i="48"/>
  <c r="X15" i="47"/>
  <c r="Y15" i="47" s="1"/>
  <c r="Z15" i="46"/>
  <c r="R65" i="51"/>
  <c r="V65" i="52"/>
  <c r="Z65" i="51"/>
  <c r="U29" i="51"/>
  <c r="I24" i="50"/>
  <c r="R63" i="51"/>
  <c r="V63" i="52"/>
  <c r="Z21" i="48"/>
  <c r="X21" i="49"/>
  <c r="Y21" i="49" s="1"/>
  <c r="X16" i="50"/>
  <c r="Y16" i="50" s="1"/>
  <c r="Z16" i="49"/>
  <c r="AG27" i="23"/>
  <c r="Y74" i="23"/>
  <c r="V49" i="52"/>
  <c r="R49" i="51"/>
  <c r="X23" i="47"/>
  <c r="Y23" i="47" s="1"/>
  <c r="Z23" i="46"/>
  <c r="U57" i="55"/>
  <c r="I52" i="54"/>
  <c r="I47" i="55"/>
  <c r="U52" i="56"/>
  <c r="X59" i="49"/>
  <c r="Y59" i="49" s="1"/>
  <c r="Z59" i="48"/>
  <c r="X26" i="53"/>
  <c r="Y26" i="53" s="1"/>
  <c r="Z26" i="52"/>
  <c r="Z18" i="48"/>
  <c r="X18" i="49"/>
  <c r="Y18" i="49" s="1"/>
  <c r="Z61" i="47"/>
  <c r="X61" i="48"/>
  <c r="Y61" i="48" s="1"/>
  <c r="X60" i="49"/>
  <c r="Y60" i="49" s="1"/>
  <c r="Z60" i="48"/>
  <c r="U49" i="55"/>
  <c r="I44" i="54"/>
  <c r="X37" i="47"/>
  <c r="Y37" i="47" s="1"/>
  <c r="Z37" i="46"/>
  <c r="X41" i="48"/>
  <c r="Y41" i="48" s="1"/>
  <c r="Z41" i="47"/>
  <c r="Z34" i="47"/>
  <c r="X34" i="48"/>
  <c r="Y34" i="48" s="1"/>
  <c r="Z62" i="48"/>
  <c r="X62" i="49"/>
  <c r="Y62" i="49" s="1"/>
  <c r="U28" i="52"/>
  <c r="I23" i="51"/>
  <c r="V67" i="52"/>
  <c r="R67" i="51"/>
  <c r="Z67" i="51"/>
  <c r="Z54" i="48"/>
  <c r="X54" i="49"/>
  <c r="Y54" i="49" s="1"/>
  <c r="I48" i="51"/>
  <c r="U53" i="52"/>
  <c r="U67" i="51"/>
  <c r="I62" i="50"/>
  <c r="U38" i="55"/>
  <c r="I33" i="54"/>
  <c r="U17" i="53"/>
  <c r="I12" i="52"/>
  <c r="X58" i="48"/>
  <c r="Y58" i="48" s="1"/>
  <c r="Z58" i="47"/>
  <c r="X59" i="50" l="1"/>
  <c r="Y59" i="50" s="1"/>
  <c r="Z59" i="49"/>
  <c r="X20" i="55"/>
  <c r="Y20" i="55" s="1"/>
  <c r="Z20" i="54"/>
  <c r="X25" i="48"/>
  <c r="Y25" i="48" s="1"/>
  <c r="Z25" i="47"/>
  <c r="Z62" i="49"/>
  <c r="X62" i="50"/>
  <c r="Y62" i="50" s="1"/>
  <c r="X54" i="50"/>
  <c r="Y54" i="50" s="1"/>
  <c r="Z54" i="49"/>
  <c r="U49" i="56"/>
  <c r="I44" i="55"/>
  <c r="X26" i="54"/>
  <c r="Y26" i="54" s="1"/>
  <c r="Z26" i="53"/>
  <c r="X16" i="51"/>
  <c r="Y16" i="51" s="1"/>
  <c r="Z16" i="50"/>
  <c r="X55" i="50"/>
  <c r="Y55" i="50" s="1"/>
  <c r="Z55" i="49"/>
  <c r="X14" i="48"/>
  <c r="Y14" i="48" s="1"/>
  <c r="Z14" i="47"/>
  <c r="U21" i="52"/>
  <c r="I16" i="51"/>
  <c r="X63" i="48"/>
  <c r="Y63" i="48" s="1"/>
  <c r="Z63" i="47"/>
  <c r="V70" i="50"/>
  <c r="U72" i="50"/>
  <c r="Z72" i="50"/>
  <c r="I22" i="52"/>
  <c r="U27" i="53"/>
  <c r="I36" i="51"/>
  <c r="U41" i="52"/>
  <c r="V66" i="53"/>
  <c r="R66" i="52"/>
  <c r="U17" i="54"/>
  <c r="I12" i="53"/>
  <c r="X34" i="49"/>
  <c r="Y34" i="49" s="1"/>
  <c r="Z34" i="48"/>
  <c r="Z23" i="47"/>
  <c r="X23" i="48"/>
  <c r="Y23" i="48" s="1"/>
  <c r="Z21" i="49"/>
  <c r="X21" i="50"/>
  <c r="Y21" i="50" s="1"/>
  <c r="R65" i="52"/>
  <c r="V65" i="53"/>
  <c r="Z65" i="52"/>
  <c r="V59" i="53"/>
  <c r="R59" i="52"/>
  <c r="U31" i="53"/>
  <c r="I26" i="52"/>
  <c r="X32" i="53"/>
  <c r="Y32" i="53" s="1"/>
  <c r="Z32" i="52"/>
  <c r="X22" i="48"/>
  <c r="Y22" i="48" s="1"/>
  <c r="Z22" i="47"/>
  <c r="R60" i="52"/>
  <c r="V60" i="53"/>
  <c r="X60" i="50"/>
  <c r="Y60" i="50" s="1"/>
  <c r="Z60" i="49"/>
  <c r="X66" i="48"/>
  <c r="Y66" i="48" s="1"/>
  <c r="Z66" i="47"/>
  <c r="U37" i="52"/>
  <c r="I32" i="51"/>
  <c r="U38" i="56"/>
  <c r="I33" i="55"/>
  <c r="U52" i="57"/>
  <c r="I47" i="57" s="1"/>
  <c r="I47" i="56"/>
  <c r="Z52" i="48"/>
  <c r="X52" i="49"/>
  <c r="Y52" i="49" s="1"/>
  <c r="I30" i="52"/>
  <c r="U35" i="53"/>
  <c r="Z39" i="49"/>
  <c r="X39" i="50"/>
  <c r="Y39" i="50" s="1"/>
  <c r="X24" i="51"/>
  <c r="Y24" i="51" s="1"/>
  <c r="Z24" i="50"/>
  <c r="V67" i="53"/>
  <c r="R67" i="52"/>
  <c r="Z67" i="52"/>
  <c r="X33" i="48"/>
  <c r="Y33" i="48" s="1"/>
  <c r="Z33" i="47"/>
  <c r="X64" i="48"/>
  <c r="Y64" i="48" s="1"/>
  <c r="Z64" i="47"/>
  <c r="U55" i="51"/>
  <c r="I50" i="50"/>
  <c r="X56" i="48"/>
  <c r="Y56" i="48" s="1"/>
  <c r="Z56" i="47"/>
  <c r="U39" i="57"/>
  <c r="I34" i="57" s="1"/>
  <c r="I34" i="56"/>
  <c r="Z51" i="49"/>
  <c r="X51" i="50"/>
  <c r="Y51" i="50" s="1"/>
  <c r="X30" i="48"/>
  <c r="Y30" i="48" s="1"/>
  <c r="Z30" i="47"/>
  <c r="U33" i="54"/>
  <c r="I28" i="53"/>
  <c r="Z41" i="48"/>
  <c r="X41" i="49"/>
  <c r="Y41" i="49" s="1"/>
  <c r="R49" i="52"/>
  <c r="V49" i="53"/>
  <c r="X15" i="48"/>
  <c r="Y15" i="48" s="1"/>
  <c r="Z15" i="47"/>
  <c r="Z44" i="48"/>
  <c r="X44" i="49"/>
  <c r="Y44" i="49" s="1"/>
  <c r="R58" i="52"/>
  <c r="V58" i="53"/>
  <c r="U74" i="51"/>
  <c r="R68" i="51"/>
  <c r="V72" i="51"/>
  <c r="U73" i="51"/>
  <c r="U61" i="53"/>
  <c r="I56" i="52"/>
  <c r="U18" i="57"/>
  <c r="I13" i="57" s="1"/>
  <c r="I13" i="56"/>
  <c r="Z53" i="48"/>
  <c r="X53" i="49"/>
  <c r="Y53" i="49" s="1"/>
  <c r="X29" i="48"/>
  <c r="Y29" i="48" s="1"/>
  <c r="Z29" i="47"/>
  <c r="X28" i="50"/>
  <c r="Y28" i="50" s="1"/>
  <c r="Z28" i="49"/>
  <c r="X40" i="48"/>
  <c r="Y40" i="48" s="1"/>
  <c r="Z40" i="47"/>
  <c r="Z38" i="47"/>
  <c r="X38" i="48"/>
  <c r="Y38" i="48" s="1"/>
  <c r="X13" i="25"/>
  <c r="Z13" i="24"/>
  <c r="Z68" i="24" s="1"/>
  <c r="Z74" i="24" s="1"/>
  <c r="Z70" i="24" s="1"/>
  <c r="Y68" i="24"/>
  <c r="Z31" i="50"/>
  <c r="X31" i="51"/>
  <c r="Y31" i="51" s="1"/>
  <c r="X57" i="51"/>
  <c r="Y57" i="51" s="1"/>
  <c r="Z57" i="50"/>
  <c r="Z35" i="48"/>
  <c r="X35" i="49"/>
  <c r="Y35" i="49" s="1"/>
  <c r="Z61" i="48"/>
  <c r="X61" i="49"/>
  <c r="Y61" i="49" s="1"/>
  <c r="U15" i="53"/>
  <c r="I10" i="52"/>
  <c r="U42" i="54"/>
  <c r="I37" i="53"/>
  <c r="I46" i="51"/>
  <c r="U51" i="52"/>
  <c r="U66" i="57"/>
  <c r="I61" i="57" s="1"/>
  <c r="I61" i="56"/>
  <c r="R63" i="52"/>
  <c r="V63" i="53"/>
  <c r="U67" i="52"/>
  <c r="I62" i="51"/>
  <c r="Z18" i="49"/>
  <c r="X18" i="50"/>
  <c r="Y18" i="50" s="1"/>
  <c r="AA84" i="23"/>
  <c r="AA86" i="23" s="1"/>
  <c r="V78" i="23"/>
  <c r="V79" i="23" s="1"/>
  <c r="Y70" i="23"/>
  <c r="U53" i="53"/>
  <c r="I48" i="52"/>
  <c r="U28" i="53"/>
  <c r="I23" i="52"/>
  <c r="Z37" i="47"/>
  <c r="X37" i="48"/>
  <c r="Y37" i="48" s="1"/>
  <c r="Z19" i="49"/>
  <c r="X19" i="50"/>
  <c r="Y19" i="50" s="1"/>
  <c r="U65" i="51"/>
  <c r="I60" i="50"/>
  <c r="U25" i="55"/>
  <c r="I20" i="54"/>
  <c r="X12" i="27"/>
  <c r="Z12" i="26"/>
  <c r="U63" i="51"/>
  <c r="I58" i="50"/>
  <c r="R56" i="52"/>
  <c r="V56" i="53"/>
  <c r="V36" i="53"/>
  <c r="R35" i="52"/>
  <c r="R36" i="52"/>
  <c r="U23" i="57"/>
  <c r="I18" i="57" s="1"/>
  <c r="I18" i="56"/>
  <c r="X42" i="53"/>
  <c r="Y42" i="53" s="1"/>
  <c r="Z42" i="52"/>
  <c r="X49" i="51"/>
  <c r="Y49" i="51" s="1"/>
  <c r="Z49" i="50"/>
  <c r="X58" i="49"/>
  <c r="Y58" i="49" s="1"/>
  <c r="Z58" i="48"/>
  <c r="U57" i="56"/>
  <c r="I52" i="55"/>
  <c r="U29" i="52"/>
  <c r="I24" i="51"/>
  <c r="X27" i="49"/>
  <c r="Y27" i="49" s="1"/>
  <c r="Z27" i="48"/>
  <c r="R29" i="52"/>
  <c r="V29" i="53"/>
  <c r="V68" i="52"/>
  <c r="I38" i="52"/>
  <c r="U43" i="53"/>
  <c r="I14" i="51"/>
  <c r="U19" i="52"/>
  <c r="X17" i="48"/>
  <c r="Y17" i="48" s="1"/>
  <c r="Z17" i="47"/>
  <c r="X36" i="50"/>
  <c r="Y36" i="50" s="1"/>
  <c r="Z36" i="49"/>
  <c r="Z50" i="47"/>
  <c r="X50" i="48"/>
  <c r="Y50" i="48" s="1"/>
  <c r="X43" i="50"/>
  <c r="Y43" i="50" s="1"/>
  <c r="Z43" i="49"/>
  <c r="AG27" i="24" l="1"/>
  <c r="Y74" i="24"/>
  <c r="I56" i="53"/>
  <c r="U61" i="54"/>
  <c r="I30" i="53"/>
  <c r="U35" i="54"/>
  <c r="U41" i="53"/>
  <c r="I36" i="52"/>
  <c r="X43" i="51"/>
  <c r="Y43" i="51" s="1"/>
  <c r="Z43" i="50"/>
  <c r="Z27" i="49"/>
  <c r="X27" i="50"/>
  <c r="Y27" i="50" s="1"/>
  <c r="X49" i="52"/>
  <c r="Y49" i="52" s="1"/>
  <c r="Z49" i="51"/>
  <c r="V36" i="54"/>
  <c r="R35" i="53"/>
  <c r="R36" i="53"/>
  <c r="Y12" i="27"/>
  <c r="X18" i="51"/>
  <c r="Y18" i="51" s="1"/>
  <c r="Z18" i="50"/>
  <c r="X16" i="52"/>
  <c r="Y16" i="52" s="1"/>
  <c r="Z16" i="51"/>
  <c r="U43" i="54"/>
  <c r="I38" i="53"/>
  <c r="X35" i="50"/>
  <c r="Y35" i="50" s="1"/>
  <c r="Z35" i="49"/>
  <c r="X29" i="49"/>
  <c r="Y29" i="49" s="1"/>
  <c r="Z29" i="48"/>
  <c r="X56" i="49"/>
  <c r="Y56" i="49" s="1"/>
  <c r="Z56" i="48"/>
  <c r="X52" i="50"/>
  <c r="Y52" i="50" s="1"/>
  <c r="Z52" i="49"/>
  <c r="Z34" i="49"/>
  <c r="X34" i="50"/>
  <c r="Y34" i="50" s="1"/>
  <c r="I24" i="52"/>
  <c r="U29" i="53"/>
  <c r="X42" i="54"/>
  <c r="Y42" i="54" s="1"/>
  <c r="Z42" i="53"/>
  <c r="V56" i="54"/>
  <c r="R56" i="53"/>
  <c r="I20" i="55"/>
  <c r="U25" i="56"/>
  <c r="U28" i="54"/>
  <c r="I23" i="53"/>
  <c r="Z38" i="48"/>
  <c r="X38" i="49"/>
  <c r="Y38" i="49" s="1"/>
  <c r="Z53" i="49"/>
  <c r="X53" i="50"/>
  <c r="Y53" i="50" s="1"/>
  <c r="X15" i="49"/>
  <c r="Y15" i="49" s="1"/>
  <c r="Z15" i="48"/>
  <c r="V67" i="54"/>
  <c r="R67" i="53"/>
  <c r="Z67" i="53"/>
  <c r="X66" i="49"/>
  <c r="Y66" i="49" s="1"/>
  <c r="Z66" i="48"/>
  <c r="V65" i="54"/>
  <c r="R65" i="53"/>
  <c r="Z65" i="53"/>
  <c r="I22" i="53"/>
  <c r="U27" i="54"/>
  <c r="I16" i="52"/>
  <c r="U21" i="53"/>
  <c r="X26" i="55"/>
  <c r="Y26" i="55" s="1"/>
  <c r="Z26" i="54"/>
  <c r="Z25" i="48"/>
  <c r="X25" i="49"/>
  <c r="Y25" i="49" s="1"/>
  <c r="AA87" i="24"/>
  <c r="AA88" i="23"/>
  <c r="AF14" i="23" s="1"/>
  <c r="X28" i="51"/>
  <c r="Y28" i="51" s="1"/>
  <c r="Z28" i="50"/>
  <c r="X44" i="50"/>
  <c r="Y44" i="50" s="1"/>
  <c r="Z44" i="49"/>
  <c r="X33" i="49"/>
  <c r="Y33" i="49" s="1"/>
  <c r="Z33" i="48"/>
  <c r="X62" i="51"/>
  <c r="Y62" i="51" s="1"/>
  <c r="Z62" i="50"/>
  <c r="U37" i="53"/>
  <c r="I32" i="52"/>
  <c r="V59" i="54"/>
  <c r="R59" i="53"/>
  <c r="X63" i="49"/>
  <c r="Y63" i="49" s="1"/>
  <c r="Z63" i="48"/>
  <c r="X50" i="49"/>
  <c r="Y50" i="49" s="1"/>
  <c r="Z50" i="48"/>
  <c r="I46" i="52"/>
  <c r="U51" i="53"/>
  <c r="Y13" i="25"/>
  <c r="X68" i="25"/>
  <c r="X74" i="25" s="1"/>
  <c r="U72" i="51"/>
  <c r="V70" i="51"/>
  <c r="Z72" i="51"/>
  <c r="I28" i="54"/>
  <c r="U33" i="55"/>
  <c r="X22" i="49"/>
  <c r="Y22" i="49" s="1"/>
  <c r="Z22" i="48"/>
  <c r="V72" i="52"/>
  <c r="R68" i="52"/>
  <c r="U74" i="52"/>
  <c r="U73" i="52"/>
  <c r="U67" i="53"/>
  <c r="I62" i="52"/>
  <c r="X30" i="49"/>
  <c r="Y30" i="49" s="1"/>
  <c r="Z30" i="48"/>
  <c r="U55" i="52"/>
  <c r="I50" i="51"/>
  <c r="X32" i="54"/>
  <c r="Y32" i="54" s="1"/>
  <c r="Z32" i="53"/>
  <c r="I12" i="54"/>
  <c r="U17" i="55"/>
  <c r="U19" i="53"/>
  <c r="I14" i="52"/>
  <c r="Z37" i="48"/>
  <c r="X37" i="49"/>
  <c r="Y37" i="49" s="1"/>
  <c r="Z61" i="49"/>
  <c r="X61" i="50"/>
  <c r="Y61" i="50" s="1"/>
  <c r="X36" i="51"/>
  <c r="Y36" i="51" s="1"/>
  <c r="Z36" i="50"/>
  <c r="I52" i="56"/>
  <c r="U57" i="57"/>
  <c r="I52" i="57" s="1"/>
  <c r="U65" i="52"/>
  <c r="I60" i="51"/>
  <c r="U53" i="54"/>
  <c r="I48" i="53"/>
  <c r="U42" i="55"/>
  <c r="I37" i="54"/>
  <c r="Z57" i="51"/>
  <c r="X57" i="52"/>
  <c r="Y57" i="52" s="1"/>
  <c r="V49" i="54"/>
  <c r="R49" i="53"/>
  <c r="X51" i="51"/>
  <c r="Y51" i="51" s="1"/>
  <c r="Z51" i="50"/>
  <c r="X24" i="52"/>
  <c r="Y24" i="52" s="1"/>
  <c r="Z24" i="51"/>
  <c r="X60" i="51"/>
  <c r="Y60" i="51" s="1"/>
  <c r="Z60" i="50"/>
  <c r="X21" i="51"/>
  <c r="Y21" i="51" s="1"/>
  <c r="Z21" i="50"/>
  <c r="Z14" i="48"/>
  <c r="X14" i="49"/>
  <c r="Y14" i="49" s="1"/>
  <c r="U49" i="57"/>
  <c r="I44" i="57" s="1"/>
  <c r="I44" i="56"/>
  <c r="X20" i="56"/>
  <c r="Y20" i="56" s="1"/>
  <c r="Z20" i="55"/>
  <c r="V29" i="54"/>
  <c r="R29" i="53"/>
  <c r="V68" i="53"/>
  <c r="U63" i="52"/>
  <c r="I58" i="51"/>
  <c r="X19" i="51"/>
  <c r="Y19" i="51" s="1"/>
  <c r="Z19" i="50"/>
  <c r="V63" i="54"/>
  <c r="R63" i="53"/>
  <c r="X31" i="52"/>
  <c r="Y31" i="52" s="1"/>
  <c r="Z31" i="51"/>
  <c r="Z40" i="48"/>
  <c r="X40" i="49"/>
  <c r="Y40" i="49" s="1"/>
  <c r="V58" i="54"/>
  <c r="R58" i="53"/>
  <c r="Z64" i="48"/>
  <c r="X64" i="49"/>
  <c r="Y64" i="49" s="1"/>
  <c r="X39" i="51"/>
  <c r="Y39" i="51" s="1"/>
  <c r="Z39" i="50"/>
  <c r="U31" i="54"/>
  <c r="I26" i="53"/>
  <c r="X17" i="49"/>
  <c r="Y17" i="49" s="1"/>
  <c r="Z17" i="48"/>
  <c r="X58" i="50"/>
  <c r="Y58" i="50" s="1"/>
  <c r="Z58" i="49"/>
  <c r="U15" i="54"/>
  <c r="I10" i="53"/>
  <c r="Z41" i="49"/>
  <c r="X41" i="50"/>
  <c r="Y41" i="50" s="1"/>
  <c r="U38" i="57"/>
  <c r="I33" i="57" s="1"/>
  <c r="I33" i="56"/>
  <c r="V60" i="54"/>
  <c r="R60" i="53"/>
  <c r="Z23" i="48"/>
  <c r="X23" i="49"/>
  <c r="Y23" i="49" s="1"/>
  <c r="R66" i="53"/>
  <c r="V66" i="54"/>
  <c r="X55" i="51"/>
  <c r="Y55" i="51" s="1"/>
  <c r="Z55" i="50"/>
  <c r="X54" i="51"/>
  <c r="Y54" i="51" s="1"/>
  <c r="Z54" i="50"/>
  <c r="X59" i="51"/>
  <c r="Y59" i="51" s="1"/>
  <c r="Z59" i="50"/>
  <c r="I37" i="55" l="1"/>
  <c r="U42" i="56"/>
  <c r="X36" i="52"/>
  <c r="Y36" i="52" s="1"/>
  <c r="Z36" i="51"/>
  <c r="U67" i="54"/>
  <c r="I62" i="53"/>
  <c r="U37" i="54"/>
  <c r="I32" i="53"/>
  <c r="X28" i="52"/>
  <c r="Y28" i="52" s="1"/>
  <c r="Z28" i="51"/>
  <c r="R66" i="54"/>
  <c r="V66" i="55"/>
  <c r="Z51" i="51"/>
  <c r="X51" i="52"/>
  <c r="Y51" i="52" s="1"/>
  <c r="Z61" i="50"/>
  <c r="X61" i="51"/>
  <c r="Y61" i="51" s="1"/>
  <c r="Z50" i="49"/>
  <c r="X50" i="50"/>
  <c r="Y50" i="50" s="1"/>
  <c r="U27" i="55"/>
  <c r="I22" i="54"/>
  <c r="X42" i="55"/>
  <c r="Y42" i="55" s="1"/>
  <c r="Z42" i="54"/>
  <c r="X56" i="50"/>
  <c r="Y56" i="50" s="1"/>
  <c r="Z56" i="49"/>
  <c r="X16" i="53"/>
  <c r="Y16" i="53" s="1"/>
  <c r="Z16" i="52"/>
  <c r="V36" i="55"/>
  <c r="R36" i="54"/>
  <c r="R35" i="54"/>
  <c r="U41" i="54"/>
  <c r="I36" i="53"/>
  <c r="V60" i="55"/>
  <c r="R60" i="54"/>
  <c r="X17" i="50"/>
  <c r="Y17" i="50" s="1"/>
  <c r="Z17" i="49"/>
  <c r="I23" i="54"/>
  <c r="U28" i="55"/>
  <c r="I30" i="54"/>
  <c r="U35" i="55"/>
  <c r="Z23" i="49"/>
  <c r="X23" i="50"/>
  <c r="Y23" i="50" s="1"/>
  <c r="V58" i="55"/>
  <c r="R58" i="54"/>
  <c r="X21" i="52"/>
  <c r="Y21" i="52" s="1"/>
  <c r="Z21" i="51"/>
  <c r="X37" i="50"/>
  <c r="Y37" i="50" s="1"/>
  <c r="Z37" i="49"/>
  <c r="X63" i="50"/>
  <c r="Y63" i="50" s="1"/>
  <c r="Z63" i="49"/>
  <c r="X25" i="50"/>
  <c r="Y25" i="50" s="1"/>
  <c r="Z25" i="49"/>
  <c r="U25" i="57"/>
  <c r="I20" i="57" s="1"/>
  <c r="I20" i="56"/>
  <c r="X29" i="50"/>
  <c r="Y29" i="50" s="1"/>
  <c r="Z29" i="49"/>
  <c r="X18" i="52"/>
  <c r="Y18" i="52" s="1"/>
  <c r="Z18" i="51"/>
  <c r="X49" i="53"/>
  <c r="Y49" i="53" s="1"/>
  <c r="Z49" i="52"/>
  <c r="Z64" i="49"/>
  <c r="X64" i="50"/>
  <c r="Y64" i="50" s="1"/>
  <c r="V29" i="55"/>
  <c r="R29" i="54"/>
  <c r="V68" i="54"/>
  <c r="I48" i="54"/>
  <c r="U53" i="55"/>
  <c r="U29" i="54"/>
  <c r="I24" i="53"/>
  <c r="X40" i="50"/>
  <c r="Y40" i="50" s="1"/>
  <c r="Z40" i="49"/>
  <c r="X20" i="57"/>
  <c r="Y20" i="57" s="1"/>
  <c r="Z20" i="57" s="1"/>
  <c r="Z20" i="56"/>
  <c r="V49" i="55"/>
  <c r="R49" i="54"/>
  <c r="I60" i="52"/>
  <c r="U65" i="53"/>
  <c r="U55" i="53"/>
  <c r="I50" i="52"/>
  <c r="U72" i="52"/>
  <c r="V70" i="52"/>
  <c r="Z72" i="52"/>
  <c r="X33" i="50"/>
  <c r="Y33" i="50" s="1"/>
  <c r="Z33" i="49"/>
  <c r="X15" i="50"/>
  <c r="Y15" i="50" s="1"/>
  <c r="Z15" i="49"/>
  <c r="X34" i="51"/>
  <c r="Y34" i="51" s="1"/>
  <c r="Z34" i="50"/>
  <c r="Z27" i="50"/>
  <c r="X27" i="51"/>
  <c r="Y27" i="51" s="1"/>
  <c r="U61" i="55"/>
  <c r="I56" i="54"/>
  <c r="X58" i="51"/>
  <c r="Y58" i="51" s="1"/>
  <c r="Z58" i="50"/>
  <c r="Z41" i="50"/>
  <c r="X41" i="51"/>
  <c r="Y41" i="51" s="1"/>
  <c r="V63" i="55"/>
  <c r="R63" i="54"/>
  <c r="X32" i="55"/>
  <c r="Y32" i="55" s="1"/>
  <c r="Z32" i="54"/>
  <c r="X62" i="52"/>
  <c r="Y62" i="52" s="1"/>
  <c r="Z62" i="51"/>
  <c r="V67" i="55"/>
  <c r="R67" i="54"/>
  <c r="Z67" i="54"/>
  <c r="X59" i="52"/>
  <c r="Y59" i="52" s="1"/>
  <c r="Z59" i="51"/>
  <c r="U31" i="55"/>
  <c r="I26" i="54"/>
  <c r="X19" i="52"/>
  <c r="Y19" i="52" s="1"/>
  <c r="Z19" i="51"/>
  <c r="X54" i="52"/>
  <c r="Y54" i="52" s="1"/>
  <c r="Z54" i="51"/>
  <c r="U15" i="55"/>
  <c r="I10" i="54"/>
  <c r="X60" i="52"/>
  <c r="Y60" i="52" s="1"/>
  <c r="Z60" i="51"/>
  <c r="Z57" i="52"/>
  <c r="X57" i="53"/>
  <c r="Y57" i="53" s="1"/>
  <c r="X13" i="26"/>
  <c r="Z13" i="25"/>
  <c r="Z68" i="25" s="1"/>
  <c r="Z74" i="25" s="1"/>
  <c r="Z70" i="25" s="1"/>
  <c r="Y68" i="25"/>
  <c r="R65" i="54"/>
  <c r="V65" i="55"/>
  <c r="Z65" i="54"/>
  <c r="Z53" i="50"/>
  <c r="X53" i="51"/>
  <c r="Y53" i="51" s="1"/>
  <c r="X35" i="51"/>
  <c r="Y35" i="51" s="1"/>
  <c r="Z35" i="50"/>
  <c r="X12" i="28"/>
  <c r="Z12" i="27"/>
  <c r="X39" i="52"/>
  <c r="Y39" i="52" s="1"/>
  <c r="Z39" i="51"/>
  <c r="U63" i="53"/>
  <c r="I58" i="52"/>
  <c r="I14" i="53"/>
  <c r="U19" i="54"/>
  <c r="Z30" i="49"/>
  <c r="X30" i="50"/>
  <c r="Y30" i="50" s="1"/>
  <c r="X22" i="50"/>
  <c r="Y22" i="50" s="1"/>
  <c r="Z22" i="49"/>
  <c r="U51" i="54"/>
  <c r="I46" i="53"/>
  <c r="R59" i="54"/>
  <c r="V59" i="55"/>
  <c r="X44" i="51"/>
  <c r="Y44" i="51" s="1"/>
  <c r="Z44" i="50"/>
  <c r="X26" i="56"/>
  <c r="Y26" i="56" s="1"/>
  <c r="Z26" i="55"/>
  <c r="AA84" i="24"/>
  <c r="AA86" i="24" s="1"/>
  <c r="V78" i="24"/>
  <c r="V79" i="24" s="1"/>
  <c r="Y70" i="24"/>
  <c r="X55" i="52"/>
  <c r="Y55" i="52" s="1"/>
  <c r="Z55" i="51"/>
  <c r="X31" i="53"/>
  <c r="Y31" i="53" s="1"/>
  <c r="Z31" i="52"/>
  <c r="R68" i="53"/>
  <c r="V72" i="53"/>
  <c r="U74" i="53"/>
  <c r="U73" i="53"/>
  <c r="X14" i="50"/>
  <c r="Y14" i="50" s="1"/>
  <c r="Z14" i="49"/>
  <c r="X24" i="53"/>
  <c r="Y24" i="53" s="1"/>
  <c r="Z24" i="52"/>
  <c r="I12" i="55"/>
  <c r="U17" i="56"/>
  <c r="I28" i="55"/>
  <c r="U33" i="56"/>
  <c r="I16" i="53"/>
  <c r="U21" i="54"/>
  <c r="X66" i="50"/>
  <c r="Y66" i="50" s="1"/>
  <c r="Z66" i="49"/>
  <c r="X38" i="50"/>
  <c r="Y38" i="50" s="1"/>
  <c r="Z38" i="49"/>
  <c r="R56" i="54"/>
  <c r="V56" i="55"/>
  <c r="X52" i="51"/>
  <c r="Y52" i="51" s="1"/>
  <c r="Z52" i="50"/>
  <c r="U43" i="55"/>
  <c r="I38" i="54"/>
  <c r="X43" i="52"/>
  <c r="Y43" i="52" s="1"/>
  <c r="Z43" i="51"/>
  <c r="X66" i="51" l="1"/>
  <c r="Y66" i="51" s="1"/>
  <c r="Z66" i="50"/>
  <c r="U21" i="55"/>
  <c r="I16" i="54"/>
  <c r="V56" i="56"/>
  <c r="R56" i="55"/>
  <c r="R59" i="55"/>
  <c r="V59" i="56"/>
  <c r="U19" i="55"/>
  <c r="I14" i="54"/>
  <c r="X27" i="52"/>
  <c r="Y27" i="52" s="1"/>
  <c r="Z27" i="51"/>
  <c r="X43" i="53"/>
  <c r="Y43" i="53" s="1"/>
  <c r="Z43" i="52"/>
  <c r="I12" i="56"/>
  <c r="U17" i="57"/>
  <c r="I12" i="57" s="1"/>
  <c r="U72" i="53"/>
  <c r="V70" i="53"/>
  <c r="Z72" i="53"/>
  <c r="X35" i="52"/>
  <c r="Y35" i="52" s="1"/>
  <c r="Z35" i="51"/>
  <c r="V49" i="56"/>
  <c r="R49" i="55"/>
  <c r="X49" i="54"/>
  <c r="Y49" i="54" s="1"/>
  <c r="Z49" i="53"/>
  <c r="X42" i="56"/>
  <c r="Y42" i="56" s="1"/>
  <c r="Z42" i="55"/>
  <c r="U37" i="55"/>
  <c r="I32" i="54"/>
  <c r="I46" i="54"/>
  <c r="U51" i="55"/>
  <c r="I58" i="53"/>
  <c r="U63" i="54"/>
  <c r="X53" i="52"/>
  <c r="Y53" i="52" s="1"/>
  <c r="Z53" i="51"/>
  <c r="Z57" i="53"/>
  <c r="X57" i="54"/>
  <c r="Y57" i="54" s="1"/>
  <c r="V67" i="56"/>
  <c r="R67" i="55"/>
  <c r="Z67" i="55"/>
  <c r="X41" i="52"/>
  <c r="Y41" i="52" s="1"/>
  <c r="Z41" i="51"/>
  <c r="U74" i="54"/>
  <c r="V72" i="54"/>
  <c r="R68" i="54"/>
  <c r="U73" i="54"/>
  <c r="V58" i="56"/>
  <c r="R58" i="55"/>
  <c r="X17" i="51"/>
  <c r="Y17" i="51" s="1"/>
  <c r="Z17" i="50"/>
  <c r="Z14" i="50"/>
  <c r="X14" i="51"/>
  <c r="Y14" i="51" s="1"/>
  <c r="Y12" i="28"/>
  <c r="I48" i="55"/>
  <c r="U53" i="56"/>
  <c r="AA88" i="24"/>
  <c r="AF14" i="24" s="1"/>
  <c r="AA87" i="25"/>
  <c r="Y13" i="26"/>
  <c r="X68" i="26"/>
  <c r="X74" i="26" s="1"/>
  <c r="X54" i="53"/>
  <c r="Y54" i="53" s="1"/>
  <c r="Z54" i="52"/>
  <c r="V63" i="56"/>
  <c r="R63" i="55"/>
  <c r="Z25" i="50"/>
  <c r="X25" i="51"/>
  <c r="Y25" i="51" s="1"/>
  <c r="X51" i="53"/>
  <c r="Y51" i="53" s="1"/>
  <c r="Z51" i="52"/>
  <c r="X38" i="51"/>
  <c r="Y38" i="51" s="1"/>
  <c r="Z38" i="50"/>
  <c r="I38" i="55"/>
  <c r="U43" i="56"/>
  <c r="X26" i="57"/>
  <c r="Y26" i="57" s="1"/>
  <c r="Z26" i="57" s="1"/>
  <c r="Z26" i="56"/>
  <c r="X19" i="53"/>
  <c r="Y19" i="53" s="1"/>
  <c r="Z19" i="52"/>
  <c r="X34" i="52"/>
  <c r="Y34" i="52" s="1"/>
  <c r="Z34" i="51"/>
  <c r="Z18" i="52"/>
  <c r="X18" i="53"/>
  <c r="Y18" i="53" s="1"/>
  <c r="X63" i="51"/>
  <c r="Y63" i="51" s="1"/>
  <c r="Z63" i="50"/>
  <c r="Z23" i="50"/>
  <c r="X23" i="51"/>
  <c r="Y23" i="51" s="1"/>
  <c r="V36" i="56"/>
  <c r="R36" i="55"/>
  <c r="R35" i="55"/>
  <c r="I22" i="55"/>
  <c r="U27" i="56"/>
  <c r="U67" i="55"/>
  <c r="I62" i="54"/>
  <c r="X24" i="54"/>
  <c r="Y24" i="54" s="1"/>
  <c r="Z24" i="53"/>
  <c r="X31" i="54"/>
  <c r="Y31" i="54" s="1"/>
  <c r="Z31" i="53"/>
  <c r="X22" i="51"/>
  <c r="Y22" i="51" s="1"/>
  <c r="Z22" i="50"/>
  <c r="X39" i="53"/>
  <c r="Y39" i="53" s="1"/>
  <c r="Z39" i="52"/>
  <c r="X62" i="53"/>
  <c r="Y62" i="53" s="1"/>
  <c r="Z62" i="52"/>
  <c r="U55" i="54"/>
  <c r="I50" i="53"/>
  <c r="X50" i="51"/>
  <c r="Y50" i="51" s="1"/>
  <c r="Z50" i="50"/>
  <c r="V66" i="56"/>
  <c r="R66" i="55"/>
  <c r="X44" i="52"/>
  <c r="Y44" i="52" s="1"/>
  <c r="Z44" i="51"/>
  <c r="Z30" i="50"/>
  <c r="X30" i="51"/>
  <c r="Y30" i="51" s="1"/>
  <c r="V65" i="56"/>
  <c r="R65" i="55"/>
  <c r="Z65" i="55"/>
  <c r="X60" i="53"/>
  <c r="Y60" i="53" s="1"/>
  <c r="Z60" i="52"/>
  <c r="U31" i="56"/>
  <c r="I26" i="55"/>
  <c r="X58" i="52"/>
  <c r="Y58" i="52" s="1"/>
  <c r="Z58" i="51"/>
  <c r="X15" i="51"/>
  <c r="Y15" i="51" s="1"/>
  <c r="Z15" i="50"/>
  <c r="I60" i="53"/>
  <c r="U65" i="54"/>
  <c r="Z40" i="50"/>
  <c r="X40" i="51"/>
  <c r="Y40" i="51" s="1"/>
  <c r="V29" i="56"/>
  <c r="R29" i="55"/>
  <c r="V68" i="55"/>
  <c r="X29" i="51"/>
  <c r="Y29" i="51" s="1"/>
  <c r="Z29" i="50"/>
  <c r="X37" i="51"/>
  <c r="Y37" i="51" s="1"/>
  <c r="Z37" i="50"/>
  <c r="I30" i="55"/>
  <c r="U35" i="56"/>
  <c r="V60" i="56"/>
  <c r="R60" i="55"/>
  <c r="X16" i="54"/>
  <c r="Y16" i="54" s="1"/>
  <c r="Z16" i="53"/>
  <c r="X36" i="53"/>
  <c r="Y36" i="53" s="1"/>
  <c r="Z36" i="52"/>
  <c r="X55" i="53"/>
  <c r="Y55" i="53" s="1"/>
  <c r="Z55" i="52"/>
  <c r="X32" i="56"/>
  <c r="Y32" i="56" s="1"/>
  <c r="Z32" i="55"/>
  <c r="X64" i="51"/>
  <c r="Y64" i="51" s="1"/>
  <c r="Z64" i="50"/>
  <c r="I37" i="56"/>
  <c r="U42" i="57"/>
  <c r="I37" i="57" s="1"/>
  <c r="X52" i="52"/>
  <c r="Y52" i="52" s="1"/>
  <c r="Z52" i="51"/>
  <c r="I28" i="56"/>
  <c r="U33" i="57"/>
  <c r="I28" i="57" s="1"/>
  <c r="AG27" i="25"/>
  <c r="Y74" i="25"/>
  <c r="U15" i="56"/>
  <c r="I10" i="55"/>
  <c r="X59" i="53"/>
  <c r="Y59" i="53" s="1"/>
  <c r="Z59" i="52"/>
  <c r="I56" i="55"/>
  <c r="U61" i="56"/>
  <c r="X33" i="51"/>
  <c r="Y33" i="51" s="1"/>
  <c r="Z33" i="50"/>
  <c r="I24" i="54"/>
  <c r="U29" i="55"/>
  <c r="X21" i="53"/>
  <c r="Y21" i="53" s="1"/>
  <c r="Z21" i="52"/>
  <c r="U28" i="56"/>
  <c r="I23" i="55"/>
  <c r="U41" i="55"/>
  <c r="I36" i="54"/>
  <c r="X56" i="51"/>
  <c r="Y56" i="51" s="1"/>
  <c r="Z56" i="50"/>
  <c r="X61" i="52"/>
  <c r="Y61" i="52" s="1"/>
  <c r="Z61" i="51"/>
  <c r="X28" i="53"/>
  <c r="Y28" i="53" s="1"/>
  <c r="Z28" i="52"/>
  <c r="V29" i="57" l="1"/>
  <c r="R29" i="56"/>
  <c r="V68" i="56"/>
  <c r="X30" i="52"/>
  <c r="Y30" i="52" s="1"/>
  <c r="Z30" i="51"/>
  <c r="V78" i="25"/>
  <c r="V79" i="25" s="1"/>
  <c r="AA84" i="25"/>
  <c r="AA86" i="25" s="1"/>
  <c r="Y70" i="25"/>
  <c r="X37" i="52"/>
  <c r="Y37" i="52" s="1"/>
  <c r="Z37" i="51"/>
  <c r="I26" i="56"/>
  <c r="U31" i="57"/>
  <c r="I26" i="57" s="1"/>
  <c r="X18" i="54"/>
  <c r="Y18" i="54" s="1"/>
  <c r="Z18" i="53"/>
  <c r="I38" i="56"/>
  <c r="U43" i="57"/>
  <c r="I38" i="57" s="1"/>
  <c r="Z35" i="52"/>
  <c r="X35" i="53"/>
  <c r="Y35" i="53" s="1"/>
  <c r="X56" i="52"/>
  <c r="Y56" i="52" s="1"/>
  <c r="Z56" i="51"/>
  <c r="Z40" i="51"/>
  <c r="X40" i="52"/>
  <c r="Y40" i="52" s="1"/>
  <c r="X50" i="52"/>
  <c r="Y50" i="52" s="1"/>
  <c r="Z50" i="51"/>
  <c r="I36" i="55"/>
  <c r="U41" i="56"/>
  <c r="X33" i="52"/>
  <c r="Y33" i="52" s="1"/>
  <c r="Z33" i="51"/>
  <c r="X64" i="52"/>
  <c r="Y64" i="52" s="1"/>
  <c r="Z64" i="51"/>
  <c r="Z16" i="54"/>
  <c r="X16" i="55"/>
  <c r="Y16" i="55" s="1"/>
  <c r="U65" i="55"/>
  <c r="I60" i="54"/>
  <c r="I50" i="54"/>
  <c r="U55" i="55"/>
  <c r="X31" i="55"/>
  <c r="Y31" i="55" s="1"/>
  <c r="Z31" i="54"/>
  <c r="U53" i="57"/>
  <c r="I48" i="57" s="1"/>
  <c r="I48" i="56"/>
  <c r="X17" i="52"/>
  <c r="Y17" i="52" s="1"/>
  <c r="Z17" i="51"/>
  <c r="X53" i="53"/>
  <c r="Y53" i="53" s="1"/>
  <c r="Z53" i="52"/>
  <c r="X42" i="57"/>
  <c r="Y42" i="57" s="1"/>
  <c r="Z42" i="57" s="1"/>
  <c r="Z42" i="56"/>
  <c r="X27" i="53"/>
  <c r="Y27" i="53" s="1"/>
  <c r="Z27" i="52"/>
  <c r="V56" i="57"/>
  <c r="R56" i="56"/>
  <c r="U27" i="57"/>
  <c r="I22" i="57" s="1"/>
  <c r="I22" i="56"/>
  <c r="X13" i="27"/>
  <c r="Z13" i="26"/>
  <c r="Z68" i="26" s="1"/>
  <c r="Z74" i="26" s="1"/>
  <c r="Z70" i="26" s="1"/>
  <c r="Y68" i="26"/>
  <c r="I10" i="56"/>
  <c r="U15" i="57"/>
  <c r="I10" i="57" s="1"/>
  <c r="X63" i="52"/>
  <c r="Y63" i="52" s="1"/>
  <c r="Z63" i="51"/>
  <c r="V70" i="54"/>
  <c r="U72" i="54"/>
  <c r="Z72" i="54"/>
  <c r="U61" i="57"/>
  <c r="I56" i="57" s="1"/>
  <c r="I56" i="56"/>
  <c r="X29" i="52"/>
  <c r="Y29" i="52" s="1"/>
  <c r="Z29" i="51"/>
  <c r="X60" i="54"/>
  <c r="Y60" i="54" s="1"/>
  <c r="Z60" i="53"/>
  <c r="X44" i="53"/>
  <c r="Y44" i="53" s="1"/>
  <c r="Z44" i="52"/>
  <c r="R63" i="56"/>
  <c r="V63" i="57"/>
  <c r="X41" i="53"/>
  <c r="Y41" i="53" s="1"/>
  <c r="Z41" i="52"/>
  <c r="U63" i="55"/>
  <c r="I58" i="54"/>
  <c r="U29" i="56"/>
  <c r="I24" i="55"/>
  <c r="X25" i="52"/>
  <c r="Y25" i="52" s="1"/>
  <c r="Z25" i="51"/>
  <c r="X57" i="55"/>
  <c r="Y57" i="55" s="1"/>
  <c r="Z57" i="54"/>
  <c r="X36" i="54"/>
  <c r="Y36" i="54" s="1"/>
  <c r="Z36" i="53"/>
  <c r="X43" i="54"/>
  <c r="Y43" i="54" s="1"/>
  <c r="Z43" i="53"/>
  <c r="U28" i="57"/>
  <c r="I23" i="57" s="1"/>
  <c r="I23" i="56"/>
  <c r="V72" i="55"/>
  <c r="R68" i="55"/>
  <c r="U74" i="55"/>
  <c r="U73" i="55"/>
  <c r="X62" i="54"/>
  <c r="Y62" i="54" s="1"/>
  <c r="Z62" i="53"/>
  <c r="X24" i="55"/>
  <c r="Y24" i="55" s="1"/>
  <c r="Z24" i="54"/>
  <c r="V36" i="57"/>
  <c r="R36" i="56"/>
  <c r="R35" i="56"/>
  <c r="X34" i="53"/>
  <c r="Y34" i="53" s="1"/>
  <c r="Z34" i="52"/>
  <c r="X38" i="52"/>
  <c r="Y38" i="52" s="1"/>
  <c r="Z38" i="51"/>
  <c r="X49" i="55"/>
  <c r="Y49" i="55" s="1"/>
  <c r="Z49" i="54"/>
  <c r="I14" i="55"/>
  <c r="U19" i="56"/>
  <c r="U21" i="56"/>
  <c r="I16" i="55"/>
  <c r="X14" i="52"/>
  <c r="Y14" i="52" s="1"/>
  <c r="Z14" i="51"/>
  <c r="X22" i="52"/>
  <c r="Y22" i="52" s="1"/>
  <c r="Z22" i="51"/>
  <c r="U37" i="56"/>
  <c r="I32" i="55"/>
  <c r="X28" i="54"/>
  <c r="Y28" i="54" s="1"/>
  <c r="Z28" i="53"/>
  <c r="X32" i="57"/>
  <c r="Y32" i="57" s="1"/>
  <c r="Z32" i="57" s="1"/>
  <c r="Z32" i="56"/>
  <c r="V60" i="57"/>
  <c r="R60" i="56"/>
  <c r="X15" i="52"/>
  <c r="Y15" i="52" s="1"/>
  <c r="Z15" i="51"/>
  <c r="X23" i="52"/>
  <c r="Y23" i="52" s="1"/>
  <c r="Z23" i="51"/>
  <c r="X54" i="54"/>
  <c r="Y54" i="54" s="1"/>
  <c r="Z54" i="53"/>
  <c r="V58" i="57"/>
  <c r="R58" i="56"/>
  <c r="I46" i="55"/>
  <c r="U51" i="56"/>
  <c r="X58" i="53"/>
  <c r="Y58" i="53" s="1"/>
  <c r="Z58" i="52"/>
  <c r="V49" i="57"/>
  <c r="R49" i="56"/>
  <c r="X61" i="53"/>
  <c r="Y61" i="53" s="1"/>
  <c r="Z61" i="52"/>
  <c r="X21" i="54"/>
  <c r="Y21" i="54" s="1"/>
  <c r="Z21" i="53"/>
  <c r="X59" i="54"/>
  <c r="Y59" i="54" s="1"/>
  <c r="Z59" i="53"/>
  <c r="X52" i="53"/>
  <c r="Y52" i="53" s="1"/>
  <c r="Z52" i="52"/>
  <c r="X55" i="54"/>
  <c r="Y55" i="54" s="1"/>
  <c r="Z55" i="53"/>
  <c r="U35" i="57"/>
  <c r="I30" i="57" s="1"/>
  <c r="I30" i="56"/>
  <c r="V65" i="57"/>
  <c r="R65" i="56"/>
  <c r="Z65" i="56"/>
  <c r="V66" i="57"/>
  <c r="R66" i="56"/>
  <c r="X39" i="54"/>
  <c r="Y39" i="54" s="1"/>
  <c r="Z39" i="53"/>
  <c r="U67" i="56"/>
  <c r="I62" i="55"/>
  <c r="X19" i="54"/>
  <c r="Y19" i="54" s="1"/>
  <c r="Z19" i="53"/>
  <c r="X51" i="54"/>
  <c r="Y51" i="54" s="1"/>
  <c r="Z51" i="53"/>
  <c r="X12" i="29"/>
  <c r="Z12" i="28"/>
  <c r="V67" i="57"/>
  <c r="R67" i="56"/>
  <c r="Z67" i="56"/>
  <c r="V59" i="57"/>
  <c r="R59" i="56"/>
  <c r="X66" i="52"/>
  <c r="Y66" i="52" s="1"/>
  <c r="Z66" i="51"/>
  <c r="X55" i="55" l="1"/>
  <c r="Y55" i="55" s="1"/>
  <c r="Z55" i="54"/>
  <c r="X50" i="53"/>
  <c r="Y50" i="53" s="1"/>
  <c r="Z50" i="52"/>
  <c r="X19" i="55"/>
  <c r="Y19" i="55" s="1"/>
  <c r="Z19" i="54"/>
  <c r="X52" i="54"/>
  <c r="Y52" i="54" s="1"/>
  <c r="Z52" i="53"/>
  <c r="R58" i="57"/>
  <c r="X60" i="55"/>
  <c r="Y60" i="55" s="1"/>
  <c r="Z60" i="54"/>
  <c r="X31" i="56"/>
  <c r="Y31" i="56" s="1"/>
  <c r="Z31" i="55"/>
  <c r="X64" i="53"/>
  <c r="Y64" i="53" s="1"/>
  <c r="Z64" i="52"/>
  <c r="X18" i="55"/>
  <c r="Y18" i="55" s="1"/>
  <c r="Z18" i="54"/>
  <c r="Y13" i="27"/>
  <c r="X68" i="27"/>
  <c r="X74" i="27" s="1"/>
  <c r="Z40" i="52"/>
  <c r="X40" i="53"/>
  <c r="Y40" i="53" s="1"/>
  <c r="R67" i="57"/>
  <c r="Z67" i="57"/>
  <c r="X22" i="53"/>
  <c r="Y22" i="53" s="1"/>
  <c r="Z22" i="52"/>
  <c r="X49" i="56"/>
  <c r="Y49" i="56" s="1"/>
  <c r="Z49" i="55"/>
  <c r="R35" i="57"/>
  <c r="R36" i="57"/>
  <c r="U72" i="55"/>
  <c r="V70" i="55"/>
  <c r="Z72" i="55"/>
  <c r="X57" i="56"/>
  <c r="Y57" i="56" s="1"/>
  <c r="Z57" i="55"/>
  <c r="X41" i="54"/>
  <c r="Y41" i="54" s="1"/>
  <c r="Z41" i="53"/>
  <c r="X63" i="53"/>
  <c r="Y63" i="53" s="1"/>
  <c r="Z63" i="52"/>
  <c r="U55" i="56"/>
  <c r="I50" i="55"/>
  <c r="X30" i="53"/>
  <c r="Y30" i="53" s="1"/>
  <c r="Z30" i="52"/>
  <c r="X15" i="53"/>
  <c r="Y15" i="53" s="1"/>
  <c r="Z15" i="52"/>
  <c r="X44" i="54"/>
  <c r="Y44" i="54" s="1"/>
  <c r="Z44" i="53"/>
  <c r="U63" i="56"/>
  <c r="I58" i="55"/>
  <c r="R65" i="57"/>
  <c r="Z65" i="57"/>
  <c r="X29" i="53"/>
  <c r="Y29" i="53" s="1"/>
  <c r="Z29" i="52"/>
  <c r="X53" i="54"/>
  <c r="Y53" i="54" s="1"/>
  <c r="Z53" i="53"/>
  <c r="X33" i="53"/>
  <c r="Y33" i="53" s="1"/>
  <c r="Z33" i="52"/>
  <c r="X56" i="53"/>
  <c r="Y56" i="53" s="1"/>
  <c r="Z56" i="52"/>
  <c r="V72" i="56"/>
  <c r="R68" i="56"/>
  <c r="U74" i="56"/>
  <c r="U73" i="56"/>
  <c r="X61" i="54"/>
  <c r="Y61" i="54" s="1"/>
  <c r="Z61" i="53"/>
  <c r="AA88" i="25"/>
  <c r="AF14" i="25" s="1"/>
  <c r="AA87" i="26"/>
  <c r="R66" i="57"/>
  <c r="U37" i="57"/>
  <c r="I32" i="57" s="1"/>
  <c r="I32" i="56"/>
  <c r="X36" i="55"/>
  <c r="Y36" i="55" s="1"/>
  <c r="Z36" i="54"/>
  <c r="R60" i="57"/>
  <c r="I62" i="56"/>
  <c r="U67" i="57"/>
  <c r="I62" i="57" s="1"/>
  <c r="X59" i="55"/>
  <c r="Y59" i="55" s="1"/>
  <c r="Z59" i="54"/>
  <c r="X54" i="55"/>
  <c r="Y54" i="55" s="1"/>
  <c r="Z54" i="54"/>
  <c r="X66" i="53"/>
  <c r="Y66" i="53" s="1"/>
  <c r="Z66" i="52"/>
  <c r="X58" i="54"/>
  <c r="Y58" i="54" s="1"/>
  <c r="Z58" i="53"/>
  <c r="X14" i="53"/>
  <c r="Y14" i="53" s="1"/>
  <c r="Z14" i="52"/>
  <c r="X38" i="53"/>
  <c r="Y38" i="53" s="1"/>
  <c r="Z38" i="52"/>
  <c r="X24" i="56"/>
  <c r="Y24" i="56" s="1"/>
  <c r="Z24" i="55"/>
  <c r="Z25" i="52"/>
  <c r="X25" i="53"/>
  <c r="Y25" i="53" s="1"/>
  <c r="R63" i="57"/>
  <c r="R56" i="57"/>
  <c r="I36" i="56"/>
  <c r="U41" i="57"/>
  <c r="I36" i="57" s="1"/>
  <c r="Z35" i="53"/>
  <c r="X35" i="54"/>
  <c r="Y35" i="54" s="1"/>
  <c r="R59" i="57"/>
  <c r="R49" i="57"/>
  <c r="Y12" i="29"/>
  <c r="X39" i="55"/>
  <c r="Y39" i="55" s="1"/>
  <c r="Z39" i="54"/>
  <c r="X21" i="55"/>
  <c r="Y21" i="55" s="1"/>
  <c r="Z21" i="54"/>
  <c r="I46" i="56"/>
  <c r="U51" i="57"/>
  <c r="I46" i="57" s="1"/>
  <c r="X23" i="53"/>
  <c r="Y23" i="53" s="1"/>
  <c r="Z23" i="52"/>
  <c r="Y74" i="26"/>
  <c r="AG27" i="26"/>
  <c r="X17" i="53"/>
  <c r="Y17" i="53" s="1"/>
  <c r="Z17" i="52"/>
  <c r="U65" i="56"/>
  <c r="I60" i="55"/>
  <c r="X37" i="53"/>
  <c r="Y37" i="53" s="1"/>
  <c r="Z37" i="52"/>
  <c r="X51" i="55"/>
  <c r="Y51" i="55" s="1"/>
  <c r="Z51" i="54"/>
  <c r="U19" i="57"/>
  <c r="I14" i="57" s="1"/>
  <c r="I14" i="56"/>
  <c r="X28" i="55"/>
  <c r="Y28" i="55" s="1"/>
  <c r="Z28" i="54"/>
  <c r="U21" i="57"/>
  <c r="I16" i="57" s="1"/>
  <c r="I16" i="56"/>
  <c r="X34" i="54"/>
  <c r="Y34" i="54" s="1"/>
  <c r="Z34" i="53"/>
  <c r="X62" i="55"/>
  <c r="Y62" i="55" s="1"/>
  <c r="Z62" i="54"/>
  <c r="X43" i="55"/>
  <c r="Y43" i="55" s="1"/>
  <c r="Z43" i="54"/>
  <c r="I24" i="56"/>
  <c r="U29" i="57"/>
  <c r="I24" i="57" s="1"/>
  <c r="X27" i="54"/>
  <c r="Y27" i="54" s="1"/>
  <c r="Z27" i="53"/>
  <c r="X16" i="56"/>
  <c r="Y16" i="56" s="1"/>
  <c r="Z16" i="55"/>
  <c r="R29" i="57"/>
  <c r="V68" i="57"/>
  <c r="X17" i="54" l="1"/>
  <c r="Y17" i="54" s="1"/>
  <c r="Z17" i="53"/>
  <c r="X59" i="56"/>
  <c r="Y59" i="56" s="1"/>
  <c r="Z59" i="55"/>
  <c r="X63" i="54"/>
  <c r="Y63" i="54" s="1"/>
  <c r="Z63" i="53"/>
  <c r="AA84" i="26"/>
  <c r="AA86" i="26" s="1"/>
  <c r="V78" i="26"/>
  <c r="V79" i="26" s="1"/>
  <c r="Y70" i="26"/>
  <c r="X39" i="56"/>
  <c r="Y39" i="56" s="1"/>
  <c r="Z39" i="55"/>
  <c r="X35" i="55"/>
  <c r="Y35" i="55" s="1"/>
  <c r="Z35" i="54"/>
  <c r="X25" i="54"/>
  <c r="Y25" i="54" s="1"/>
  <c r="Z25" i="53"/>
  <c r="Z40" i="53"/>
  <c r="X40" i="54"/>
  <c r="Y40" i="54" s="1"/>
  <c r="X21" i="56"/>
  <c r="Y21" i="56" s="1"/>
  <c r="Z21" i="55"/>
  <c r="U74" i="57"/>
  <c r="R68" i="57"/>
  <c r="V72" i="57"/>
  <c r="U73" i="57"/>
  <c r="X58" i="55"/>
  <c r="Y58" i="55" s="1"/>
  <c r="Z58" i="54"/>
  <c r="V70" i="56"/>
  <c r="U72" i="56"/>
  <c r="Z72" i="56"/>
  <c r="X29" i="54"/>
  <c r="Y29" i="54" s="1"/>
  <c r="Z29" i="53"/>
  <c r="X15" i="54"/>
  <c r="Y15" i="54" s="1"/>
  <c r="Z15" i="53"/>
  <c r="X41" i="55"/>
  <c r="Y41" i="55" s="1"/>
  <c r="Z41" i="54"/>
  <c r="X31" i="57"/>
  <c r="Y31" i="57" s="1"/>
  <c r="Z31" i="57" s="1"/>
  <c r="Z31" i="56"/>
  <c r="X19" i="56"/>
  <c r="Y19" i="56" s="1"/>
  <c r="Z19" i="55"/>
  <c r="X53" i="55"/>
  <c r="Y53" i="55" s="1"/>
  <c r="Z53" i="54"/>
  <c r="X37" i="54"/>
  <c r="Y37" i="54" s="1"/>
  <c r="Z37" i="53"/>
  <c r="X62" i="56"/>
  <c r="Y62" i="56" s="1"/>
  <c r="Z62" i="55"/>
  <c r="X27" i="55"/>
  <c r="Y27" i="55" s="1"/>
  <c r="Z27" i="54"/>
  <c r="X44" i="55"/>
  <c r="Y44" i="55" s="1"/>
  <c r="Z44" i="54"/>
  <c r="X52" i="55"/>
  <c r="Y52" i="55" s="1"/>
  <c r="Z52" i="54"/>
  <c r="X12" i="30"/>
  <c r="Z12" i="29"/>
  <c r="X24" i="57"/>
  <c r="Y24" i="57" s="1"/>
  <c r="Z24" i="57" s="1"/>
  <c r="Z24" i="56"/>
  <c r="X56" i="54"/>
  <c r="Y56" i="54" s="1"/>
  <c r="Z56" i="53"/>
  <c r="X30" i="54"/>
  <c r="Y30" i="54" s="1"/>
  <c r="Z30" i="53"/>
  <c r="X57" i="57"/>
  <c r="Y57" i="57" s="1"/>
  <c r="Z57" i="57" s="1"/>
  <c r="Z57" i="56"/>
  <c r="X49" i="57"/>
  <c r="Y49" i="57" s="1"/>
  <c r="Z49" i="57" s="1"/>
  <c r="Z49" i="56"/>
  <c r="X13" i="28"/>
  <c r="Z13" i="27"/>
  <c r="Z68" i="27" s="1"/>
  <c r="Z74" i="27" s="1"/>
  <c r="Z70" i="27" s="1"/>
  <c r="Y68" i="27"/>
  <c r="X60" i="56"/>
  <c r="Y60" i="56" s="1"/>
  <c r="Z60" i="55"/>
  <c r="Z50" i="53"/>
  <c r="X50" i="54"/>
  <c r="Y50" i="54" s="1"/>
  <c r="X14" i="54"/>
  <c r="Y14" i="54" s="1"/>
  <c r="Z14" i="53"/>
  <c r="X66" i="54"/>
  <c r="Y66" i="54" s="1"/>
  <c r="Z66" i="53"/>
  <c r="X43" i="56"/>
  <c r="Y43" i="56" s="1"/>
  <c r="Z43" i="55"/>
  <c r="X28" i="56"/>
  <c r="Y28" i="56" s="1"/>
  <c r="Z28" i="55"/>
  <c r="U65" i="57"/>
  <c r="I60" i="57" s="1"/>
  <c r="I60" i="56"/>
  <c r="X64" i="54"/>
  <c r="Y64" i="54" s="1"/>
  <c r="Z64" i="53"/>
  <c r="X34" i="55"/>
  <c r="Y34" i="55" s="1"/>
  <c r="Z34" i="54"/>
  <c r="X51" i="56"/>
  <c r="Y51" i="56" s="1"/>
  <c r="Z51" i="55"/>
  <c r="X23" i="54"/>
  <c r="Y23" i="54" s="1"/>
  <c r="Z23" i="53"/>
  <c r="X16" i="57"/>
  <c r="Y16" i="57" s="1"/>
  <c r="Z16" i="57" s="1"/>
  <c r="Z16" i="56"/>
  <c r="X38" i="54"/>
  <c r="Y38" i="54" s="1"/>
  <c r="Z38" i="53"/>
  <c r="X54" i="56"/>
  <c r="Y54" i="56" s="1"/>
  <c r="Z54" i="55"/>
  <c r="X36" i="56"/>
  <c r="Y36" i="56" s="1"/>
  <c r="Z36" i="55"/>
  <c r="X61" i="55"/>
  <c r="Y61" i="55" s="1"/>
  <c r="Z61" i="54"/>
  <c r="X33" i="54"/>
  <c r="Y33" i="54" s="1"/>
  <c r="Z33" i="53"/>
  <c r="I58" i="56"/>
  <c r="U63" i="57"/>
  <c r="I58" i="57" s="1"/>
  <c r="U55" i="57"/>
  <c r="I50" i="57" s="1"/>
  <c r="I50" i="56"/>
  <c r="X22" i="54"/>
  <c r="Y22" i="54" s="1"/>
  <c r="Z22" i="53"/>
  <c r="X18" i="56"/>
  <c r="Y18" i="56" s="1"/>
  <c r="Z18" i="55"/>
  <c r="X55" i="56"/>
  <c r="Y55" i="56" s="1"/>
  <c r="Z55" i="55"/>
  <c r="Y13" i="28" l="1"/>
  <c r="X68" i="28"/>
  <c r="X74" i="28" s="1"/>
  <c r="X53" i="56"/>
  <c r="Y53" i="56" s="1"/>
  <c r="Z53" i="55"/>
  <c r="X54" i="57"/>
  <c r="Y54" i="57" s="1"/>
  <c r="Z54" i="57" s="1"/>
  <c r="Z54" i="56"/>
  <c r="X51" i="57"/>
  <c r="Y51" i="57" s="1"/>
  <c r="Z51" i="57" s="1"/>
  <c r="Z51" i="56"/>
  <c r="X50" i="55"/>
  <c r="Y50" i="55" s="1"/>
  <c r="Z50" i="54"/>
  <c r="U72" i="57"/>
  <c r="V70" i="57"/>
  <c r="Z72" i="57"/>
  <c r="Z25" i="54"/>
  <c r="X25" i="55"/>
  <c r="Y25" i="55" s="1"/>
  <c r="X23" i="55"/>
  <c r="Y23" i="55" s="1"/>
  <c r="Z23" i="54"/>
  <c r="AA87" i="27"/>
  <c r="AA88" i="26"/>
  <c r="AF14" i="26" s="1"/>
  <c r="X28" i="57"/>
  <c r="Y28" i="57" s="1"/>
  <c r="Z28" i="57" s="1"/>
  <c r="Z28" i="56"/>
  <c r="X27" i="56"/>
  <c r="Y27" i="56" s="1"/>
  <c r="Z27" i="55"/>
  <c r="X19" i="57"/>
  <c r="Y19" i="57" s="1"/>
  <c r="Z19" i="57" s="1"/>
  <c r="Z19" i="56"/>
  <c r="X29" i="55"/>
  <c r="Y29" i="55" s="1"/>
  <c r="Z29" i="54"/>
  <c r="X63" i="55"/>
  <c r="Y63" i="55" s="1"/>
  <c r="Z63" i="54"/>
  <c r="X36" i="57"/>
  <c r="Y36" i="57" s="1"/>
  <c r="Z36" i="57" s="1"/>
  <c r="Z36" i="56"/>
  <c r="X56" i="55"/>
  <c r="Y56" i="55" s="1"/>
  <c r="Z56" i="54"/>
  <c r="X44" i="56"/>
  <c r="Y44" i="56" s="1"/>
  <c r="Z44" i="55"/>
  <c r="X18" i="57"/>
  <c r="Y18" i="57" s="1"/>
  <c r="Z18" i="57" s="1"/>
  <c r="Z18" i="56"/>
  <c r="X34" i="56"/>
  <c r="Y34" i="56" s="1"/>
  <c r="Z34" i="55"/>
  <c r="Z35" i="55"/>
  <c r="X35" i="56"/>
  <c r="Y35" i="56" s="1"/>
  <c r="X14" i="55"/>
  <c r="Y14" i="55" s="1"/>
  <c r="Z14" i="54"/>
  <c r="X15" i="55"/>
  <c r="Y15" i="55" s="1"/>
  <c r="Z15" i="54"/>
  <c r="X55" i="57"/>
  <c r="Y55" i="57" s="1"/>
  <c r="Z55" i="57" s="1"/>
  <c r="Z55" i="56"/>
  <c r="X33" i="55"/>
  <c r="Y33" i="55" s="1"/>
  <c r="Z33" i="54"/>
  <c r="X38" i="55"/>
  <c r="Y38" i="55" s="1"/>
  <c r="Z38" i="54"/>
  <c r="X43" i="57"/>
  <c r="Y43" i="57" s="1"/>
  <c r="Z43" i="57" s="1"/>
  <c r="Z43" i="56"/>
  <c r="X60" i="57"/>
  <c r="Y60" i="57" s="1"/>
  <c r="Z60" i="57" s="1"/>
  <c r="Z60" i="56"/>
  <c r="Y12" i="30"/>
  <c r="X62" i="57"/>
  <c r="Y62" i="57" s="1"/>
  <c r="Z62" i="57" s="1"/>
  <c r="Z62" i="56"/>
  <c r="X59" i="57"/>
  <c r="Y59" i="57" s="1"/>
  <c r="Z59" i="57" s="1"/>
  <c r="Z59" i="56"/>
  <c r="X58" i="56"/>
  <c r="Y58" i="56" s="1"/>
  <c r="Z58" i="55"/>
  <c r="X22" i="55"/>
  <c r="Y22" i="55" s="1"/>
  <c r="Z22" i="54"/>
  <c r="X61" i="56"/>
  <c r="Y61" i="56" s="1"/>
  <c r="Z61" i="55"/>
  <c r="X64" i="55"/>
  <c r="Y64" i="55" s="1"/>
  <c r="Z64" i="54"/>
  <c r="Y74" i="27"/>
  <c r="AG27" i="27"/>
  <c r="X30" i="55"/>
  <c r="Y30" i="55" s="1"/>
  <c r="Z30" i="54"/>
  <c r="X21" i="57"/>
  <c r="Y21" i="57" s="1"/>
  <c r="Z21" i="57" s="1"/>
  <c r="Z21" i="56"/>
  <c r="X39" i="57"/>
  <c r="Y39" i="57" s="1"/>
  <c r="Z39" i="57" s="1"/>
  <c r="Z39" i="56"/>
  <c r="X66" i="55"/>
  <c r="Y66" i="55" s="1"/>
  <c r="Z66" i="54"/>
  <c r="X52" i="56"/>
  <c r="Y52" i="56" s="1"/>
  <c r="Z52" i="55"/>
  <c r="X37" i="55"/>
  <c r="Y37" i="55" s="1"/>
  <c r="Z37" i="54"/>
  <c r="X41" i="56"/>
  <c r="Y41" i="56" s="1"/>
  <c r="Z41" i="55"/>
  <c r="Z40" i="54"/>
  <c r="X40" i="55"/>
  <c r="Y40" i="55" s="1"/>
  <c r="X17" i="55"/>
  <c r="Y17" i="55" s="1"/>
  <c r="Z17" i="54"/>
  <c r="X17" i="56" l="1"/>
  <c r="Y17" i="56" s="1"/>
  <c r="Z17" i="55"/>
  <c r="X66" i="56"/>
  <c r="Y66" i="56" s="1"/>
  <c r="Z66" i="55"/>
  <c r="V78" i="27"/>
  <c r="V79" i="27" s="1"/>
  <c r="AA84" i="27"/>
  <c r="AA86" i="27" s="1"/>
  <c r="Y70" i="27"/>
  <c r="X58" i="57"/>
  <c r="Y58" i="57" s="1"/>
  <c r="Z58" i="57" s="1"/>
  <c r="Z58" i="56"/>
  <c r="X23" i="56"/>
  <c r="Y23" i="56" s="1"/>
  <c r="Z23" i="55"/>
  <c r="X34" i="57"/>
  <c r="Y34" i="57" s="1"/>
  <c r="Z34" i="57" s="1"/>
  <c r="Z34" i="56"/>
  <c r="X27" i="57"/>
  <c r="Y27" i="57" s="1"/>
  <c r="Z27" i="57" s="1"/>
  <c r="Z27" i="56"/>
  <c r="X25" i="56"/>
  <c r="Y25" i="56" s="1"/>
  <c r="Z25" i="55"/>
  <c r="X15" i="56"/>
  <c r="Y15" i="56" s="1"/>
  <c r="Z15" i="55"/>
  <c r="X37" i="56"/>
  <c r="Y37" i="56" s="1"/>
  <c r="Z37" i="55"/>
  <c r="X61" i="57"/>
  <c r="Y61" i="57" s="1"/>
  <c r="Z61" i="57" s="1"/>
  <c r="Z61" i="56"/>
  <c r="X38" i="56"/>
  <c r="Y38" i="56" s="1"/>
  <c r="Z38" i="55"/>
  <c r="X14" i="56"/>
  <c r="Y14" i="56" s="1"/>
  <c r="Z14" i="55"/>
  <c r="X41" i="57"/>
  <c r="Y41" i="57" s="1"/>
  <c r="Z41" i="57" s="1"/>
  <c r="Z41" i="56"/>
  <c r="X63" i="56"/>
  <c r="Y63" i="56" s="1"/>
  <c r="Z63" i="55"/>
  <c r="X12" i="31"/>
  <c r="Z12" i="30"/>
  <c r="X35" i="57"/>
  <c r="Y35" i="57" s="1"/>
  <c r="Z35" i="57" s="1"/>
  <c r="Z35" i="56"/>
  <c r="X44" i="57"/>
  <c r="Y44" i="57" s="1"/>
  <c r="Z44" i="57" s="1"/>
  <c r="Z44" i="56"/>
  <c r="X29" i="56"/>
  <c r="Y29" i="56" s="1"/>
  <c r="Z29" i="55"/>
  <c r="X53" i="57"/>
  <c r="Y53" i="57" s="1"/>
  <c r="Z53" i="57" s="1"/>
  <c r="Z53" i="56"/>
  <c r="X52" i="57"/>
  <c r="Y52" i="57" s="1"/>
  <c r="Z52" i="57" s="1"/>
  <c r="Z52" i="56"/>
  <c r="X30" i="56"/>
  <c r="Y30" i="56" s="1"/>
  <c r="Z30" i="55"/>
  <c r="X22" i="56"/>
  <c r="Y22" i="56" s="1"/>
  <c r="Z22" i="55"/>
  <c r="X33" i="56"/>
  <c r="Y33" i="56" s="1"/>
  <c r="Z33" i="55"/>
  <c r="X64" i="56"/>
  <c r="Y64" i="56" s="1"/>
  <c r="Z64" i="55"/>
  <c r="X40" i="56"/>
  <c r="Y40" i="56" s="1"/>
  <c r="Z40" i="55"/>
  <c r="X56" i="56"/>
  <c r="Y56" i="56" s="1"/>
  <c r="Z56" i="55"/>
  <c r="X50" i="56"/>
  <c r="Y50" i="56" s="1"/>
  <c r="Z50" i="55"/>
  <c r="Z13" i="28"/>
  <c r="Z68" i="28" s="1"/>
  <c r="Z74" i="28" s="1"/>
  <c r="Z70" i="28" s="1"/>
  <c r="X13" i="29"/>
  <c r="Y68" i="28"/>
  <c r="X56" i="57" l="1"/>
  <c r="Y56" i="57" s="1"/>
  <c r="Z56" i="57" s="1"/>
  <c r="Z56" i="56"/>
  <c r="X22" i="57"/>
  <c r="Y22" i="57" s="1"/>
  <c r="Z22" i="57" s="1"/>
  <c r="Z22" i="56"/>
  <c r="X29" i="57"/>
  <c r="Y29" i="57" s="1"/>
  <c r="Z29" i="57" s="1"/>
  <c r="Z29" i="56"/>
  <c r="X25" i="57"/>
  <c r="Y25" i="57" s="1"/>
  <c r="Z25" i="57" s="1"/>
  <c r="Z25" i="56"/>
  <c r="X63" i="57"/>
  <c r="Y63" i="57" s="1"/>
  <c r="Z63" i="57" s="1"/>
  <c r="Z63" i="56"/>
  <c r="Y74" i="28"/>
  <c r="AG27" i="28"/>
  <c r="AA88" i="27"/>
  <c r="AF14" i="27" s="1"/>
  <c r="AA87" i="28"/>
  <c r="X64" i="57"/>
  <c r="Y64" i="57" s="1"/>
  <c r="Z64" i="57" s="1"/>
  <c r="Z64" i="56"/>
  <c r="X14" i="57"/>
  <c r="Y14" i="57" s="1"/>
  <c r="Z14" i="57" s="1"/>
  <c r="Z14" i="56"/>
  <c r="X66" i="57"/>
  <c r="Y66" i="57" s="1"/>
  <c r="Z66" i="57" s="1"/>
  <c r="Z66" i="56"/>
  <c r="X40" i="57"/>
  <c r="Y40" i="57" s="1"/>
  <c r="Z40" i="57" s="1"/>
  <c r="Z40" i="56"/>
  <c r="Y13" i="29"/>
  <c r="X68" i="29"/>
  <c r="X74" i="29" s="1"/>
  <c r="X37" i="57"/>
  <c r="Y37" i="57" s="1"/>
  <c r="Z37" i="57" s="1"/>
  <c r="Z37" i="56"/>
  <c r="X33" i="57"/>
  <c r="Y33" i="57" s="1"/>
  <c r="Z33" i="57" s="1"/>
  <c r="Z33" i="56"/>
  <c r="X15" i="57"/>
  <c r="Y15" i="57" s="1"/>
  <c r="Z15" i="57" s="1"/>
  <c r="Z15" i="56"/>
  <c r="X23" i="57"/>
  <c r="Y23" i="57" s="1"/>
  <c r="Z23" i="57" s="1"/>
  <c r="Z23" i="56"/>
  <c r="X30" i="57"/>
  <c r="Y30" i="57" s="1"/>
  <c r="Z30" i="57" s="1"/>
  <c r="Z30" i="56"/>
  <c r="X50" i="57"/>
  <c r="Y50" i="57" s="1"/>
  <c r="Z50" i="57" s="1"/>
  <c r="Z50" i="56"/>
  <c r="Y12" i="31"/>
  <c r="X38" i="57"/>
  <c r="Y38" i="57" s="1"/>
  <c r="Z38" i="57" s="1"/>
  <c r="Z38" i="56"/>
  <c r="X17" i="57"/>
  <c r="Y17" i="57" s="1"/>
  <c r="Z17" i="57" s="1"/>
  <c r="Z17" i="56"/>
  <c r="Z13" i="29" l="1"/>
  <c r="Z68" i="29" s="1"/>
  <c r="Z74" i="29" s="1"/>
  <c r="Z70" i="29" s="1"/>
  <c r="X13" i="30"/>
  <c r="Y68" i="29"/>
  <c r="X12" i="32"/>
  <c r="Z12" i="31"/>
  <c r="V78" i="28"/>
  <c r="V79" i="28" s="1"/>
  <c r="AA84" i="28"/>
  <c r="AA86" i="28" s="1"/>
  <c r="Y70" i="28"/>
  <c r="Y12" i="32" l="1"/>
  <c r="AA87" i="29"/>
  <c r="AA88" i="28"/>
  <c r="AF14" i="28" s="1"/>
  <c r="Y74" i="29"/>
  <c r="AG27" i="29"/>
  <c r="Y13" i="30"/>
  <c r="X68" i="30"/>
  <c r="X74" i="30" s="1"/>
  <c r="AA84" i="29" l="1"/>
  <c r="AA86" i="29" s="1"/>
  <c r="V78" i="29"/>
  <c r="V79" i="29" s="1"/>
  <c r="Y70" i="29"/>
  <c r="Z13" i="30"/>
  <c r="Z68" i="30" s="1"/>
  <c r="Z74" i="30" s="1"/>
  <c r="Z70" i="30" s="1"/>
  <c r="X13" i="31"/>
  <c r="Y68" i="30"/>
  <c r="X12" i="33"/>
  <c r="Z12" i="32"/>
  <c r="Y74" i="30" l="1"/>
  <c r="AG27" i="30"/>
  <c r="AA87" i="30"/>
  <c r="AA88" i="29"/>
  <c r="AF14" i="29" s="1"/>
  <c r="Y12" i="33"/>
  <c r="Y13" i="31"/>
  <c r="X68" i="31"/>
  <c r="X74" i="31" s="1"/>
  <c r="Z13" i="31" l="1"/>
  <c r="Z68" i="31" s="1"/>
  <c r="Z74" i="31" s="1"/>
  <c r="Z70" i="31" s="1"/>
  <c r="X13" i="32"/>
  <c r="Y68" i="31"/>
  <c r="X12" i="34"/>
  <c r="Z12" i="33"/>
  <c r="AA84" i="30"/>
  <c r="AA86" i="30" s="1"/>
  <c r="V78" i="30"/>
  <c r="V79" i="30" s="1"/>
  <c r="Y70" i="30"/>
  <c r="AA87" i="31" l="1"/>
  <c r="AA88" i="30"/>
  <c r="AF14" i="30" s="1"/>
  <c r="AG27" i="31"/>
  <c r="Y74" i="31"/>
  <c r="Y12" i="34"/>
  <c r="Y13" i="32"/>
  <c r="X68" i="32"/>
  <c r="X74" i="32" s="1"/>
  <c r="V78" i="31" l="1"/>
  <c r="V79" i="31" s="1"/>
  <c r="AA84" i="31"/>
  <c r="AA86" i="31" s="1"/>
  <c r="Y70" i="31"/>
  <c r="X13" i="33"/>
  <c r="Z13" i="32"/>
  <c r="Z68" i="32" s="1"/>
  <c r="Z74" i="32" s="1"/>
  <c r="Z70" i="32" s="1"/>
  <c r="Y68" i="32"/>
  <c r="X12" i="35"/>
  <c r="Z12" i="34"/>
  <c r="Y74" i="32" l="1"/>
  <c r="AG27" i="32"/>
  <c r="Y13" i="33"/>
  <c r="X68" i="33"/>
  <c r="X74" i="33" s="1"/>
  <c r="AA88" i="31"/>
  <c r="AF14" i="31" s="1"/>
  <c r="AA87" i="32"/>
  <c r="Y12" i="35"/>
  <c r="Z13" i="33" l="1"/>
  <c r="Z68" i="33" s="1"/>
  <c r="Z74" i="33" s="1"/>
  <c r="Z70" i="33" s="1"/>
  <c r="X13" i="34"/>
  <c r="Y68" i="33"/>
  <c r="X12" i="36"/>
  <c r="Z12" i="35"/>
  <c r="V78" i="32"/>
  <c r="V79" i="32" s="1"/>
  <c r="AA84" i="32"/>
  <c r="AA86" i="32" s="1"/>
  <c r="Y70" i="32"/>
  <c r="AA87" i="33" l="1"/>
  <c r="AA88" i="32"/>
  <c r="AF14" i="32" s="1"/>
  <c r="AG27" i="33"/>
  <c r="Y74" i="33"/>
  <c r="Y12" i="36"/>
  <c r="Y13" i="34"/>
  <c r="X68" i="34"/>
  <c r="X74" i="34" s="1"/>
  <c r="X12" i="37" l="1"/>
  <c r="Z12" i="36"/>
  <c r="Z13" i="34"/>
  <c r="Z68" i="34" s="1"/>
  <c r="Z74" i="34" s="1"/>
  <c r="Z70" i="34" s="1"/>
  <c r="X13" i="35"/>
  <c r="Y68" i="34"/>
  <c r="V78" i="33"/>
  <c r="V79" i="33" s="1"/>
  <c r="AA84" i="33"/>
  <c r="AA86" i="33" s="1"/>
  <c r="Y70" i="33"/>
  <c r="AA88" i="33" l="1"/>
  <c r="AF14" i="33" s="1"/>
  <c r="AA87" i="34"/>
  <c r="Y13" i="35"/>
  <c r="X68" i="35"/>
  <c r="X74" i="35" s="1"/>
  <c r="AG27" i="34"/>
  <c r="Y74" i="34"/>
  <c r="Y12" i="37"/>
  <c r="X12" i="38" l="1"/>
  <c r="Z12" i="37"/>
  <c r="V78" i="34"/>
  <c r="V79" i="34" s="1"/>
  <c r="AA84" i="34"/>
  <c r="AA86" i="34" s="1"/>
  <c r="Y70" i="34"/>
  <c r="X13" i="36"/>
  <c r="Z13" i="35"/>
  <c r="Z68" i="35" s="1"/>
  <c r="Z74" i="35" s="1"/>
  <c r="Z70" i="35" s="1"/>
  <c r="Y68" i="35"/>
  <c r="AA87" i="35" l="1"/>
  <c r="AA88" i="34"/>
  <c r="AF14" i="34" s="1"/>
  <c r="Y13" i="36"/>
  <c r="X68" i="36"/>
  <c r="X74" i="36" s="1"/>
  <c r="AG27" i="35"/>
  <c r="Y74" i="35"/>
  <c r="Y12" i="38"/>
  <c r="X12" i="39" l="1"/>
  <c r="Z12" i="38"/>
  <c r="X13" i="37"/>
  <c r="Z13" i="36"/>
  <c r="Z68" i="36" s="1"/>
  <c r="Z74" i="36" s="1"/>
  <c r="Z70" i="36" s="1"/>
  <c r="Y68" i="36"/>
  <c r="V78" i="35"/>
  <c r="V79" i="35" s="1"/>
  <c r="AA84" i="35"/>
  <c r="AA86" i="35" s="1"/>
  <c r="Y70" i="35"/>
  <c r="AA88" i="35" l="1"/>
  <c r="AF14" i="35" s="1"/>
  <c r="AA87" i="36"/>
  <c r="AG27" i="36"/>
  <c r="Y74" i="36"/>
  <c r="Y13" i="37"/>
  <c r="X68" i="37"/>
  <c r="X74" i="37" s="1"/>
  <c r="Y12" i="39"/>
  <c r="AA84" i="36" l="1"/>
  <c r="AA86" i="36" s="1"/>
  <c r="V78" i="36"/>
  <c r="V79" i="36" s="1"/>
  <c r="Y70" i="36"/>
  <c r="X13" i="38"/>
  <c r="Z13" i="37"/>
  <c r="Z68" i="37" s="1"/>
  <c r="Z74" i="37" s="1"/>
  <c r="Z70" i="37" s="1"/>
  <c r="Y68" i="37"/>
  <c r="X12" i="40"/>
  <c r="Z12" i="39"/>
  <c r="AG27" i="37" l="1"/>
  <c r="Y74" i="37"/>
  <c r="Y13" i="38"/>
  <c r="X68" i="38"/>
  <c r="X74" i="38" s="1"/>
  <c r="Y12" i="40"/>
  <c r="AA88" i="36"/>
  <c r="AF14" i="36" s="1"/>
  <c r="AA87" i="37"/>
  <c r="X13" i="39" l="1"/>
  <c r="Z13" i="38"/>
  <c r="Z68" i="38" s="1"/>
  <c r="Z74" i="38" s="1"/>
  <c r="Z70" i="38" s="1"/>
  <c r="Y68" i="38"/>
  <c r="V78" i="37"/>
  <c r="V79" i="37" s="1"/>
  <c r="AA84" i="37"/>
  <c r="AA86" i="37" s="1"/>
  <c r="Y70" i="37"/>
  <c r="X12" i="46"/>
  <c r="Z12" i="40"/>
  <c r="AA88" i="37" l="1"/>
  <c r="AF14" i="37" s="1"/>
  <c r="AA87" i="38"/>
  <c r="AG27" i="38"/>
  <c r="Y74" i="38"/>
  <c r="Y12" i="46"/>
  <c r="Y13" i="39"/>
  <c r="X68" i="39"/>
  <c r="X74" i="39" s="1"/>
  <c r="X13" i="40" l="1"/>
  <c r="Z13" i="39"/>
  <c r="Z68" i="39" s="1"/>
  <c r="Z74" i="39" s="1"/>
  <c r="Z70" i="39" s="1"/>
  <c r="Y68" i="39"/>
  <c r="X12" i="47"/>
  <c r="Z12" i="46"/>
  <c r="V78" i="38"/>
  <c r="V79" i="38" s="1"/>
  <c r="AA84" i="38"/>
  <c r="AA86" i="38" s="1"/>
  <c r="Y70" i="38"/>
  <c r="AA87" i="39" l="1"/>
  <c r="AA88" i="38"/>
  <c r="AF14" i="38" s="1"/>
  <c r="AG27" i="39"/>
  <c r="Y74" i="39"/>
  <c r="Y12" i="47"/>
  <c r="Y13" i="40"/>
  <c r="X68" i="40"/>
  <c r="X74" i="40" s="1"/>
  <c r="X13" i="46" l="1"/>
  <c r="Z13" i="40"/>
  <c r="Z68" i="40" s="1"/>
  <c r="Z74" i="40" s="1"/>
  <c r="Z70" i="40" s="1"/>
  <c r="Y68" i="40"/>
  <c r="X12" i="48"/>
  <c r="Z12" i="47"/>
  <c r="AA84" i="39"/>
  <c r="AA86" i="39" s="1"/>
  <c r="V78" i="39"/>
  <c r="V79" i="39" s="1"/>
  <c r="Y70" i="39"/>
  <c r="AA88" i="39" l="1"/>
  <c r="AF14" i="39" s="1"/>
  <c r="AA87" i="40"/>
  <c r="Y74" i="40"/>
  <c r="AG27" i="40"/>
  <c r="Y12" i="48"/>
  <c r="Y13" i="46"/>
  <c r="X68" i="46"/>
  <c r="X74" i="46" s="1"/>
  <c r="Z13" i="46" l="1"/>
  <c r="Z68" i="46" s="1"/>
  <c r="Z74" i="46" s="1"/>
  <c r="Z70" i="46" s="1"/>
  <c r="X13" i="47"/>
  <c r="Y68" i="46"/>
  <c r="X12" i="49"/>
  <c r="Z12" i="48"/>
  <c r="V78" i="40"/>
  <c r="V79" i="40" s="1"/>
  <c r="AA84" i="40"/>
  <c r="AA86" i="40" s="1"/>
  <c r="Y70" i="40"/>
  <c r="AA87" i="46" l="1"/>
  <c r="AA88" i="40"/>
  <c r="AF14" i="40" s="1"/>
  <c r="Y12" i="49"/>
  <c r="AG27" i="46"/>
  <c r="Y74" i="46"/>
  <c r="Y13" i="47"/>
  <c r="X68" i="47"/>
  <c r="X74" i="47" s="1"/>
  <c r="V78" i="46" l="1"/>
  <c r="V79" i="46" s="1"/>
  <c r="AA84" i="46"/>
  <c r="AA86" i="46" s="1"/>
  <c r="Y70" i="46"/>
  <c r="Z13" i="47"/>
  <c r="Z68" i="47" s="1"/>
  <c r="Z74" i="47" s="1"/>
  <c r="Z70" i="47" s="1"/>
  <c r="X13" i="48"/>
  <c r="Y68" i="47"/>
  <c r="X12" i="50"/>
  <c r="Z12" i="49"/>
  <c r="Y74" i="47" l="1"/>
  <c r="AG27" i="47"/>
  <c r="Y12" i="50"/>
  <c r="Y13" i="48"/>
  <c r="X68" i="48"/>
  <c r="X74" i="48" s="1"/>
  <c r="AA88" i="46"/>
  <c r="AF14" i="46" s="1"/>
  <c r="AA87" i="47"/>
  <c r="X12" i="51" l="1"/>
  <c r="Z12" i="50"/>
  <c r="X13" i="49"/>
  <c r="Z13" i="48"/>
  <c r="Z68" i="48" s="1"/>
  <c r="Z74" i="48" s="1"/>
  <c r="Z70" i="48" s="1"/>
  <c r="Y68" i="48"/>
  <c r="V78" i="47"/>
  <c r="V79" i="47" s="1"/>
  <c r="AA84" i="47"/>
  <c r="AA86" i="47" s="1"/>
  <c r="Y70" i="47"/>
  <c r="AA88" i="47" l="1"/>
  <c r="AF14" i="47" s="1"/>
  <c r="AA87" i="48"/>
  <c r="AG27" i="48"/>
  <c r="Y74" i="48"/>
  <c r="Y13" i="49"/>
  <c r="X68" i="49"/>
  <c r="X74" i="49" s="1"/>
  <c r="Y12" i="51"/>
  <c r="X13" i="50" l="1"/>
  <c r="Z13" i="49"/>
  <c r="Z68" i="49" s="1"/>
  <c r="Z74" i="49" s="1"/>
  <c r="Z70" i="49" s="1"/>
  <c r="Y68" i="49"/>
  <c r="X12" i="52"/>
  <c r="Z12" i="51"/>
  <c r="AA84" i="48"/>
  <c r="AA86" i="48" s="1"/>
  <c r="V78" i="48"/>
  <c r="V79" i="48" s="1"/>
  <c r="Y70" i="48"/>
  <c r="AA87" i="49" l="1"/>
  <c r="AA88" i="48"/>
  <c r="AF14" i="48" s="1"/>
  <c r="Y74" i="49"/>
  <c r="AG27" i="49"/>
  <c r="Y12" i="52"/>
  <c r="Y13" i="50"/>
  <c r="X68" i="50"/>
  <c r="X74" i="50" s="1"/>
  <c r="X13" i="51" l="1"/>
  <c r="Z13" i="50"/>
  <c r="Z68" i="50" s="1"/>
  <c r="Z74" i="50" s="1"/>
  <c r="Z70" i="50" s="1"/>
  <c r="Y68" i="50"/>
  <c r="X12" i="53"/>
  <c r="Z12" i="52"/>
  <c r="AA84" i="49"/>
  <c r="AA86" i="49" s="1"/>
  <c r="V78" i="49"/>
  <c r="V79" i="49" s="1"/>
  <c r="Y70" i="49"/>
  <c r="AA87" i="50" l="1"/>
  <c r="AA88" i="49"/>
  <c r="AF14" i="49" s="1"/>
  <c r="Y74" i="50"/>
  <c r="AG27" i="50"/>
  <c r="Y12" i="53"/>
  <c r="Y13" i="51"/>
  <c r="X68" i="51"/>
  <c r="X74" i="51" s="1"/>
  <c r="X12" i="54" l="1"/>
  <c r="Z12" i="53"/>
  <c r="X13" i="52"/>
  <c r="Z13" i="51"/>
  <c r="Z68" i="51" s="1"/>
  <c r="Z74" i="51" s="1"/>
  <c r="Z70" i="51" s="1"/>
  <c r="Y68" i="51"/>
  <c r="V78" i="50"/>
  <c r="V79" i="50" s="1"/>
  <c r="AA84" i="50"/>
  <c r="AA86" i="50" s="1"/>
  <c r="Y70" i="50"/>
  <c r="Y74" i="51" l="1"/>
  <c r="AG27" i="51"/>
  <c r="Y12" i="54"/>
  <c r="AA87" i="51"/>
  <c r="AA88" i="50"/>
  <c r="AF14" i="50" s="1"/>
  <c r="Y13" i="52"/>
  <c r="X68" i="52"/>
  <c r="X74" i="52" s="1"/>
  <c r="X13" i="53" l="1"/>
  <c r="Z13" i="52"/>
  <c r="Z68" i="52" s="1"/>
  <c r="Z74" i="52" s="1"/>
  <c r="Z70" i="52" s="1"/>
  <c r="Y68" i="52"/>
  <c r="X12" i="55"/>
  <c r="Z12" i="54"/>
  <c r="V78" i="51"/>
  <c r="V79" i="51" s="1"/>
  <c r="AA84" i="51"/>
  <c r="AA86" i="51" s="1"/>
  <c r="Y70" i="51"/>
  <c r="AA88" i="51" l="1"/>
  <c r="AF14" i="51" s="1"/>
  <c r="AA87" i="52"/>
  <c r="Y12" i="55"/>
  <c r="Y74" i="52"/>
  <c r="AG27" i="52"/>
  <c r="Y13" i="53"/>
  <c r="X68" i="53"/>
  <c r="X74" i="53" s="1"/>
  <c r="X12" i="56" l="1"/>
  <c r="Z12" i="55"/>
  <c r="X13" i="54"/>
  <c r="Z13" i="53"/>
  <c r="Z68" i="53" s="1"/>
  <c r="Z74" i="53" s="1"/>
  <c r="Z70" i="53" s="1"/>
  <c r="Y68" i="53"/>
  <c r="AA84" i="52"/>
  <c r="AA86" i="52" s="1"/>
  <c r="V78" i="52"/>
  <c r="V79" i="52" s="1"/>
  <c r="Y70" i="52"/>
  <c r="Y74" i="53" l="1"/>
  <c r="AG27" i="53"/>
  <c r="AA88" i="52"/>
  <c r="AF14" i="52" s="1"/>
  <c r="AA87" i="53"/>
  <c r="Y13" i="54"/>
  <c r="X68" i="54"/>
  <c r="X74" i="54" s="1"/>
  <c r="Y12" i="56"/>
  <c r="X13" i="55" l="1"/>
  <c r="Z13" i="54"/>
  <c r="Z68" i="54" s="1"/>
  <c r="Z74" i="54" s="1"/>
  <c r="Z70" i="54" s="1"/>
  <c r="Y68" i="54"/>
  <c r="X12" i="57"/>
  <c r="Z12" i="56"/>
  <c r="V78" i="53"/>
  <c r="V79" i="53" s="1"/>
  <c r="AA84" i="53"/>
  <c r="AA86" i="53" s="1"/>
  <c r="Y70" i="53"/>
  <c r="AA87" i="54" l="1"/>
  <c r="AA88" i="53"/>
  <c r="AF14" i="53" s="1"/>
  <c r="Y12" i="57"/>
  <c r="AG27" i="54"/>
  <c r="Y74" i="54"/>
  <c r="Y13" i="55"/>
  <c r="X68" i="55"/>
  <c r="X74" i="55" s="1"/>
  <c r="Z12" i="57" l="1"/>
  <c r="AA84" i="54"/>
  <c r="AA86" i="54" s="1"/>
  <c r="V78" i="54"/>
  <c r="V79" i="54" s="1"/>
  <c r="Y70" i="54"/>
  <c r="X13" i="56"/>
  <c r="Z13" i="55"/>
  <c r="Z68" i="55" s="1"/>
  <c r="Z74" i="55" s="1"/>
  <c r="Z70" i="55" s="1"/>
  <c r="Y68" i="55"/>
  <c r="Y13" i="56" l="1"/>
  <c r="X68" i="56"/>
  <c r="X74" i="56" s="1"/>
  <c r="AA88" i="54"/>
  <c r="AF14" i="54" s="1"/>
  <c r="AA87" i="55"/>
  <c r="Y74" i="55"/>
  <c r="AG27" i="55"/>
  <c r="AA84" i="55" l="1"/>
  <c r="AA86" i="55" s="1"/>
  <c r="V78" i="55"/>
  <c r="V79" i="55" s="1"/>
  <c r="Y70" i="55"/>
  <c r="X13" i="57"/>
  <c r="Z13" i="56"/>
  <c r="Z68" i="56" s="1"/>
  <c r="Z74" i="56" s="1"/>
  <c r="Z70" i="56" s="1"/>
  <c r="Y68" i="56"/>
  <c r="Y74" i="56" l="1"/>
  <c r="AG27" i="56"/>
  <c r="Y13" i="57"/>
  <c r="X68" i="57"/>
  <c r="X74" i="57" s="1"/>
  <c r="AA88" i="55"/>
  <c r="AF14" i="55" s="1"/>
  <c r="AA87" i="56"/>
  <c r="Z13" i="57" l="1"/>
  <c r="Z68" i="57" s="1"/>
  <c r="Z74" i="57" s="1"/>
  <c r="Z70" i="57" s="1"/>
  <c r="Y68" i="57"/>
  <c r="AA84" i="56"/>
  <c r="AA86" i="56" s="1"/>
  <c r="V78" i="56"/>
  <c r="V79" i="56" s="1"/>
  <c r="Y70" i="56"/>
  <c r="AA88" i="56" l="1"/>
  <c r="AF14" i="56" s="1"/>
  <c r="AA87" i="57"/>
  <c r="Y74" i="57"/>
  <c r="AG27" i="57"/>
  <c r="AA84" i="57" l="1"/>
  <c r="AA86" i="57" s="1"/>
  <c r="AA88" i="57" s="1"/>
  <c r="AF14" i="57" s="1"/>
  <c r="V78" i="57"/>
  <c r="V79" i="57" s="1"/>
  <c r="Y70" i="57"/>
</calcChain>
</file>

<file path=xl/sharedStrings.xml><?xml version="1.0" encoding="utf-8"?>
<sst xmlns="http://schemas.openxmlformats.org/spreadsheetml/2006/main" count="9054" uniqueCount="126">
  <si>
    <t xml:space="preserve">North Carolina Community College System </t>
  </si>
  <si>
    <t>Budget</t>
  </si>
  <si>
    <t>Request #1</t>
  </si>
  <si>
    <t>Request #2</t>
  </si>
  <si>
    <t>Request #3</t>
  </si>
  <si>
    <t>Total Exp</t>
  </si>
  <si>
    <t>Remaining Funds</t>
  </si>
  <si>
    <t>Request for Capital Project Reimbursement</t>
  </si>
  <si>
    <t>Budget Code:</t>
  </si>
  <si>
    <t>College Name:</t>
  </si>
  <si>
    <t xml:space="preserve">Project Name: </t>
  </si>
  <si>
    <t>Project Number:</t>
  </si>
  <si>
    <t>Project Description</t>
  </si>
  <si>
    <t>Comments</t>
  </si>
  <si>
    <t>Note: When the alert "Send in Change Order " shows in column R, it means that the amount has changed since the previous request for that</t>
  </si>
  <si>
    <t xml:space="preserve">line item.  Therefore, you must have already sent in a change order or must attach it to this request for informal projects, for formal projects the change order </t>
  </si>
  <si>
    <t>must have already been approved by the State Construction Office.   Supporting documentation on all other contract amount changes must be sent in</t>
  </si>
  <si>
    <t>such as, amendments to those contracts or a revised PO.  The alert also shows for  other fees where you just need to send in documentation of your payment.</t>
  </si>
  <si>
    <t>NCCCS 2-17 (Column 2)</t>
  </si>
  <si>
    <t>NCCCS 2-17 (Column 6)</t>
  </si>
  <si>
    <t>Capital Improvement Request Signature Page</t>
  </si>
  <si>
    <t>Supporting Documentation for Column 2 - Expenditures Paid Current Month/Year</t>
  </si>
  <si>
    <t>Supporting Documentation for Column 6 - Expenditures Due and Unpaid</t>
  </si>
  <si>
    <t>NCCCS 2-16</t>
  </si>
  <si>
    <t>Request #</t>
  </si>
  <si>
    <t>Invoice Number</t>
  </si>
  <si>
    <t>Total</t>
  </si>
  <si>
    <t>Cost Item</t>
  </si>
  <si>
    <t>Purchase Order Number</t>
  </si>
  <si>
    <t>Date:</t>
  </si>
  <si>
    <t>Date</t>
  </si>
  <si>
    <t>Check Number</t>
  </si>
  <si>
    <t>Payee</t>
  </si>
  <si>
    <t>Amount</t>
  </si>
  <si>
    <t>Item</t>
  </si>
  <si>
    <t>Cost Item Number and Name (Reference)</t>
  </si>
  <si>
    <t>Project Cost - Expenditures/Unpaid Balances</t>
  </si>
  <si>
    <t>Column (1)</t>
  </si>
  <si>
    <t>Column (2)</t>
  </si>
  <si>
    <t>Column (3)</t>
  </si>
  <si>
    <t>Column (4)</t>
  </si>
  <si>
    <t>Column (5)</t>
  </si>
  <si>
    <t>Column (6)</t>
  </si>
  <si>
    <t>Cost</t>
  </si>
  <si>
    <t>Total Project</t>
  </si>
  <si>
    <t>Expenditures</t>
  </si>
  <si>
    <t xml:space="preserve">Previous </t>
  </si>
  <si>
    <t>Unpaid Balance</t>
  </si>
  <si>
    <t>Amounts Due</t>
  </si>
  <si>
    <t xml:space="preserve">We hereby certify that, to the best of our knowledge and belief, this statement of balances and expenditures  </t>
  </si>
  <si>
    <t>Account Name</t>
  </si>
  <si>
    <t>Cost as Per</t>
  </si>
  <si>
    <t xml:space="preserve">Paid Current </t>
  </si>
  <si>
    <t xml:space="preserve">Project  </t>
  </si>
  <si>
    <t>To</t>
  </si>
  <si>
    <t>of Total</t>
  </si>
  <si>
    <r>
      <t xml:space="preserve">&amp; Unpaid </t>
    </r>
    <r>
      <rPr>
        <b/>
        <sz val="16"/>
        <rFont val="Arial"/>
        <family val="2"/>
      </rPr>
      <t>Must</t>
    </r>
  </si>
  <si>
    <t>for this capital improvement request is correct, that expenditures have been made in accordance with the statutes</t>
  </si>
  <si>
    <t>Contract</t>
  </si>
  <si>
    <t>Month/Qtr.</t>
  </si>
  <si>
    <t>Project Cost</t>
  </si>
  <si>
    <t>Submit Invoice</t>
  </si>
  <si>
    <t xml:space="preserve">of North Carolina and the rules and regulations of the State Board of Community College and that payment of </t>
  </si>
  <si>
    <t>Amount Requested</t>
  </si>
  <si>
    <t>Land/Site Grading &amp; Improv.</t>
  </si>
  <si>
    <t>this pro rata share of capital improvement costs has not been received by this college.</t>
  </si>
  <si>
    <t xml:space="preserve">General Contract </t>
  </si>
  <si>
    <t>Designer Contract</t>
  </si>
  <si>
    <r>
      <rPr>
        <b/>
        <sz val="16"/>
        <rFont val="Arial"/>
        <family val="2"/>
      </rPr>
      <t>To: BOARD OF COMMUNITY COLLEGES:</t>
    </r>
    <r>
      <rPr>
        <sz val="16"/>
        <rFont val="Arial"/>
        <family val="2"/>
      </rPr>
      <t xml:space="preserve">     Please draw a voucher in the amount of   </t>
    </r>
  </si>
  <si>
    <t>Designer Reimbursables</t>
  </si>
  <si>
    <t>for your pro rata share of state and/or federal funds.</t>
  </si>
  <si>
    <t>Other Contracts</t>
  </si>
  <si>
    <r>
      <t xml:space="preserve">Amount Due from Local County </t>
    </r>
    <r>
      <rPr>
        <sz val="16"/>
        <rFont val="Arial"/>
        <family val="2"/>
      </rPr>
      <t>for your pro rata share</t>
    </r>
  </si>
  <si>
    <t>Prepared By</t>
  </si>
  <si>
    <t>Capital Project Coordinator</t>
  </si>
  <si>
    <t>Community College President/CFO</t>
  </si>
  <si>
    <t>Total Project Cost</t>
  </si>
  <si>
    <t>STATE LEVEL USE</t>
  </si>
  <si>
    <t>Batch #</t>
  </si>
  <si>
    <t>Approved for Payment</t>
  </si>
  <si>
    <t>Associate Vice President for College Finance &amp; Operations</t>
  </si>
  <si>
    <t>Back- Up Documentation</t>
  </si>
  <si>
    <t>Other Fees</t>
  </si>
  <si>
    <t>(Check all that apply)</t>
  </si>
  <si>
    <t>Attached</t>
  </si>
  <si>
    <t>Mailed</t>
  </si>
  <si>
    <t>N/A</t>
  </si>
  <si>
    <t xml:space="preserve"> Total Page 1</t>
  </si>
  <si>
    <t>Worked Performed by Owner</t>
  </si>
  <si>
    <t>Equipment (Major)</t>
  </si>
  <si>
    <t>Contingency Fund</t>
  </si>
  <si>
    <t>TOTAL:</t>
  </si>
  <si>
    <t>Sources of Funds</t>
  </si>
  <si>
    <t>Percent of Total Project</t>
  </si>
  <si>
    <t>(A) LOCAL FUNDS</t>
  </si>
  <si>
    <t>(B) STATE EQUIPMENT</t>
  </si>
  <si>
    <t>(C) STATE GRANTS</t>
  </si>
  <si>
    <t>STATE VOUCHER</t>
  </si>
  <si>
    <t>STATUS OF STATE BD. OF COMM. COLLEGES' GRANT</t>
  </si>
  <si>
    <t>ISSUED</t>
  </si>
  <si>
    <t>LOCAL FUNDING SHARE:</t>
  </si>
  <si>
    <t>1(Col.1C) TOTAL STATE GRANT</t>
  </si>
  <si>
    <t xml:space="preserve">DATE: </t>
  </si>
  <si>
    <t xml:space="preserve">1(Col.4A)LOCAL EXPENDED-TO-DATE </t>
  </si>
  <si>
    <t>2(Col.4C) EXPENDED TO DATE</t>
  </si>
  <si>
    <t>2(Col.6A) AMT. DUE &amp; UNPAID</t>
  </si>
  <si>
    <t>3) BALANCE OF GRANT</t>
  </si>
  <si>
    <t xml:space="preserve"> Total Page 2</t>
  </si>
  <si>
    <t>3) LESS: AMT. REC'D-TO-DATE</t>
  </si>
  <si>
    <t>College Name</t>
  </si>
  <si>
    <t>4) THIS REQUEST FOR FUNDS</t>
  </si>
  <si>
    <t>Grand Total</t>
  </si>
  <si>
    <t xml:space="preserve">Must agree with Form NCCCS 2-16 Form, Column 2 </t>
  </si>
  <si>
    <t xml:space="preserve">Must agree with Form NCCCS 2-16 Form, Column 6 </t>
  </si>
  <si>
    <t>Project Name</t>
  </si>
  <si>
    <t>STATE BOARD OF COMM. COLLEGES' SHARE:</t>
  </si>
  <si>
    <t xml:space="preserve">1(Col.4C)STATE EXPENDED-TO-DATE </t>
  </si>
  <si>
    <t>Project #</t>
  </si>
  <si>
    <t>2(Col.6C) AMT. DUE &amp; UNPAID</t>
  </si>
  <si>
    <t>Contract Changes</t>
  </si>
  <si>
    <t>Payments &gt; Unpaid</t>
  </si>
  <si>
    <t>NCCCS 2-17 (Column 5)</t>
  </si>
  <si>
    <t>General Contract</t>
  </si>
  <si>
    <t>Architect Contract</t>
  </si>
  <si>
    <t>Architect Reimbursables</t>
  </si>
  <si>
    <t>Supporting Documentation for Column 5 - Expenditures Due and Unpaid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</si>
</sst>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m/dd/yy"/>
    <numFmt numFmtId="165" formatCode="0.0000%"/>
    <numFmt numFmtId="166" formatCode="\ "/>
  </numFmts>
  <fonts count="17" x14ac:knownFonts="1">
    <font>
      <sz val="12"/>
      <name val="Helv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sz val="12"/>
      <color indexed="47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47"/>
      <name val="Arial"/>
      <family val="2"/>
    </font>
    <font>
      <u/>
      <sz val="16"/>
      <name val="Arial"/>
      <family val="2"/>
    </font>
    <font>
      <b/>
      <sz val="18"/>
      <name val="Arial"/>
      <family val="2"/>
    </font>
    <font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326">
    <xf numFmtId="0" fontId="0" fillId="0" borderId="0" xfId="0"/>
    <xf numFmtId="0" fontId="1" fillId="0" borderId="0" xfId="2"/>
    <xf numFmtId="0" fontId="3" fillId="0" borderId="0" xfId="0" applyFont="1"/>
    <xf numFmtId="0" fontId="1" fillId="0" borderId="0" xfId="0" applyFont="1"/>
    <xf numFmtId="0" fontId="5" fillId="0" borderId="0" xfId="0" applyFont="1"/>
    <xf numFmtId="0" fontId="3" fillId="0" borderId="0" xfId="2" applyFont="1"/>
    <xf numFmtId="0" fontId="6" fillId="0" borderId="3" xfId="0" applyFont="1" applyBorder="1"/>
    <xf numFmtId="0" fontId="4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8" fillId="0" borderId="0" xfId="2" applyFont="1"/>
    <xf numFmtId="0" fontId="3" fillId="0" borderId="26" xfId="0" applyFont="1" applyBorder="1"/>
    <xf numFmtId="0" fontId="4" fillId="0" borderId="26" xfId="0" applyFont="1" applyBorder="1" applyAlignment="1">
      <alignment horizontal="left"/>
    </xf>
    <xf numFmtId="0" fontId="9" fillId="0" borderId="0" xfId="2" applyFont="1"/>
    <xf numFmtId="0" fontId="9" fillId="4" borderId="0" xfId="2" applyFont="1" applyFill="1"/>
    <xf numFmtId="0" fontId="8" fillId="4" borderId="0" xfId="2" applyFont="1" applyFill="1"/>
    <xf numFmtId="0" fontId="3" fillId="4" borderId="0" xfId="2" applyFont="1" applyFill="1"/>
    <xf numFmtId="0" fontId="8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0" fontId="4" fillId="0" borderId="0" xfId="0" applyFont="1"/>
    <xf numFmtId="0" fontId="9" fillId="8" borderId="0" xfId="2" applyFont="1" applyFill="1"/>
    <xf numFmtId="0" fontId="8" fillId="8" borderId="0" xfId="2" applyFont="1" applyFill="1"/>
    <xf numFmtId="0" fontId="3" fillId="8" borderId="0" xfId="2" applyFont="1" applyFill="1"/>
    <xf numFmtId="0" fontId="8" fillId="9" borderId="0" xfId="0" applyFont="1" applyFill="1" applyAlignment="1">
      <alignment horizontal="centerContinuous"/>
    </xf>
    <xf numFmtId="0" fontId="9" fillId="9" borderId="0" xfId="2" applyFont="1" applyFill="1"/>
    <xf numFmtId="0" fontId="4" fillId="9" borderId="0" xfId="0" applyFont="1" applyFill="1"/>
    <xf numFmtId="0" fontId="3" fillId="9" borderId="0" xfId="0" applyFont="1" applyFill="1"/>
    <xf numFmtId="15" fontId="4" fillId="9" borderId="0" xfId="0" applyNumberFormat="1" applyFont="1" applyFill="1" applyAlignment="1" applyProtection="1">
      <alignment horizontal="left"/>
      <protection locked="0"/>
    </xf>
    <xf numFmtId="0" fontId="3" fillId="9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39" fontId="3" fillId="9" borderId="0" xfId="0" applyNumberFormat="1" applyFont="1" applyFill="1"/>
    <xf numFmtId="39" fontId="7" fillId="9" borderId="0" xfId="0" applyNumberFormat="1" applyFont="1" applyFill="1"/>
    <xf numFmtId="39" fontId="6" fillId="9" borderId="0" xfId="0" applyNumberFormat="1" applyFont="1" applyFill="1" applyProtection="1">
      <protection locked="0"/>
    </xf>
    <xf numFmtId="39" fontId="6" fillId="9" borderId="0" xfId="0" applyNumberFormat="1" applyFont="1" applyFill="1"/>
    <xf numFmtId="0" fontId="2" fillId="9" borderId="0" xfId="0" applyFont="1" applyFill="1"/>
    <xf numFmtId="0" fontId="3" fillId="9" borderId="0" xfId="0" applyFont="1" applyFill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2" fillId="0" borderId="0" xfId="2" applyFont="1"/>
    <xf numFmtId="0" fontId="12" fillId="0" borderId="26" xfId="2" applyFont="1" applyBorder="1"/>
    <xf numFmtId="0" fontId="11" fillId="0" borderId="0" xfId="2" applyFont="1"/>
    <xf numFmtId="0" fontId="11" fillId="4" borderId="0" xfId="2" applyFont="1" applyFill="1"/>
    <xf numFmtId="0" fontId="11" fillId="0" borderId="26" xfId="2" applyFont="1" applyBorder="1" applyAlignment="1">
      <alignment horizontal="left"/>
    </xf>
    <xf numFmtId="0" fontId="12" fillId="4" borderId="0" xfId="2" applyFont="1" applyFill="1"/>
    <xf numFmtId="0" fontId="9" fillId="0" borderId="3" xfId="0" applyFont="1" applyBorder="1"/>
    <xf numFmtId="39" fontId="9" fillId="7" borderId="3" xfId="0" applyNumberFormat="1" applyFont="1" applyFill="1" applyBorder="1"/>
    <xf numFmtId="0" fontId="9" fillId="0" borderId="6" xfId="0" applyFont="1" applyBorder="1" applyAlignment="1">
      <alignment horizontal="left"/>
    </xf>
    <xf numFmtId="0" fontId="9" fillId="0" borderId="5" xfId="0" applyFont="1" applyBorder="1"/>
    <xf numFmtId="0" fontId="9" fillId="0" borderId="12" xfId="0" applyFont="1" applyBorder="1" applyAlignment="1">
      <alignment horizontal="left"/>
    </xf>
    <xf numFmtId="0" fontId="9" fillId="0" borderId="34" xfId="0" applyFont="1" applyBorder="1" applyAlignment="1">
      <alignment horizontal="left"/>
    </xf>
    <xf numFmtId="0" fontId="9" fillId="0" borderId="33" xfId="0" applyFont="1" applyBorder="1"/>
    <xf numFmtId="0" fontId="11" fillId="7" borderId="0" xfId="2" applyFont="1" applyFill="1"/>
    <xf numFmtId="0" fontId="12" fillId="0" borderId="0" xfId="0" applyFont="1" applyAlignment="1">
      <alignment horizontal="centerContinuous"/>
    </xf>
    <xf numFmtId="0" fontId="12" fillId="7" borderId="0" xfId="0" applyFont="1" applyFill="1" applyAlignment="1" applyProtection="1">
      <alignment horizontal="centerContinuous"/>
      <protection locked="0"/>
    </xf>
    <xf numFmtId="0" fontId="12" fillId="0" borderId="0" xfId="0" applyFont="1" applyAlignment="1">
      <alignment horizontal="left"/>
    </xf>
    <xf numFmtId="0" fontId="11" fillId="7" borderId="0" xfId="2" applyFont="1" applyFill="1" applyProtection="1">
      <protection locked="0"/>
    </xf>
    <xf numFmtId="0" fontId="11" fillId="0" borderId="0" xfId="0" applyFont="1"/>
    <xf numFmtId="0" fontId="12" fillId="7" borderId="26" xfId="0" applyFont="1" applyFill="1" applyBorder="1"/>
    <xf numFmtId="0" fontId="11" fillId="7" borderId="26" xfId="0" applyFont="1" applyFill="1" applyBorder="1"/>
    <xf numFmtId="0" fontId="12" fillId="7" borderId="0" xfId="0" applyFont="1" applyFill="1" applyProtection="1">
      <protection locked="0"/>
    </xf>
    <xf numFmtId="0" fontId="12" fillId="0" borderId="0" xfId="0" applyFont="1"/>
    <xf numFmtId="0" fontId="11" fillId="7" borderId="0" xfId="0" applyFont="1" applyFill="1" applyProtection="1">
      <protection locked="0"/>
    </xf>
    <xf numFmtId="0" fontId="12" fillId="7" borderId="0" xfId="2" applyFont="1" applyFill="1"/>
    <xf numFmtId="0" fontId="12" fillId="0" borderId="0" xfId="0" applyFont="1" applyAlignment="1">
      <alignment horizontal="right"/>
    </xf>
    <xf numFmtId="15" fontId="12" fillId="0" borderId="6" xfId="0" applyNumberFormat="1" applyFont="1" applyBorder="1" applyAlignment="1" applyProtection="1">
      <alignment horizontal="left"/>
      <protection locked="0"/>
    </xf>
    <xf numFmtId="15" fontId="12" fillId="7" borderId="0" xfId="0" applyNumberFormat="1" applyFont="1" applyFill="1" applyAlignment="1" applyProtection="1">
      <alignment horizontal="left"/>
      <protection locked="0"/>
    </xf>
    <xf numFmtId="0" fontId="12" fillId="7" borderId="26" xfId="2" applyFont="1" applyFill="1" applyBorder="1"/>
    <xf numFmtId="0" fontId="11" fillId="0" borderId="7" xfId="0" applyFont="1" applyBorder="1"/>
    <xf numFmtId="0" fontId="11" fillId="0" borderId="8" xfId="0" applyFont="1" applyBorder="1" applyProtection="1">
      <protection locked="0"/>
    </xf>
    <xf numFmtId="0" fontId="11" fillId="0" borderId="9" xfId="0" applyFont="1" applyBorder="1" applyProtection="1"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1" fillId="7" borderId="9" xfId="0" applyFont="1" applyFill="1" applyBorder="1" applyAlignment="1">
      <alignment horizontal="center"/>
    </xf>
    <xf numFmtId="0" fontId="11" fillId="7" borderId="0" xfId="0" applyFont="1" applyFill="1" applyAlignment="1" applyProtection="1">
      <alignment horizontal="center"/>
      <protection locked="0"/>
    </xf>
    <xf numFmtId="0" fontId="11" fillId="0" borderId="10" xfId="0" applyFont="1" applyBorder="1" applyAlignment="1">
      <alignment horizontal="center"/>
    </xf>
    <xf numFmtId="0" fontId="11" fillId="0" borderId="0" xfId="0" applyFont="1" applyProtection="1">
      <protection locked="0"/>
    </xf>
    <xf numFmtId="0" fontId="11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7" borderId="1" xfId="0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11" xfId="0" applyFont="1" applyBorder="1"/>
    <xf numFmtId="0" fontId="11" fillId="0" borderId="6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1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0" xfId="0" applyFont="1" applyFill="1" applyAlignment="1" applyProtection="1">
      <alignment horizontal="center"/>
      <protection locked="0"/>
    </xf>
    <xf numFmtId="0" fontId="11" fillId="7" borderId="11" xfId="0" applyFont="1" applyFill="1" applyBorder="1" applyAlignment="1">
      <alignment horizontal="center"/>
    </xf>
    <xf numFmtId="0" fontId="11" fillId="0" borderId="6" xfId="0" applyFont="1" applyBorder="1" applyAlignment="1" applyProtection="1">
      <alignment horizontal="left"/>
      <protection locked="0"/>
    </xf>
    <xf numFmtId="39" fontId="11" fillId="0" borderId="3" xfId="0" applyNumberFormat="1" applyFont="1" applyBorder="1" applyProtection="1">
      <protection locked="0"/>
    </xf>
    <xf numFmtId="39" fontId="11" fillId="7" borderId="3" xfId="0" applyNumberFormat="1" applyFont="1" applyFill="1" applyBorder="1"/>
    <xf numFmtId="0" fontId="11" fillId="7" borderId="0" xfId="2" applyFont="1" applyFill="1" applyProtection="1">
      <protection hidden="1"/>
    </xf>
    <xf numFmtId="0" fontId="11" fillId="0" borderId="3" xfId="0" applyFont="1" applyBorder="1" applyAlignment="1" applyProtection="1">
      <alignment horizontal="right"/>
      <protection locked="0"/>
    </xf>
    <xf numFmtId="0" fontId="11" fillId="0" borderId="0" xfId="0" applyFont="1" applyAlignment="1">
      <alignment horizontal="left"/>
    </xf>
    <xf numFmtId="0" fontId="11" fillId="0" borderId="0" xfId="2" applyFont="1" applyProtection="1">
      <protection locked="0"/>
    </xf>
    <xf numFmtId="0" fontId="12" fillId="0" borderId="26" xfId="0" applyFont="1" applyBorder="1" applyAlignment="1" applyProtection="1">
      <alignment horizontal="center"/>
      <protection locked="0"/>
    </xf>
    <xf numFmtId="0" fontId="11" fillId="0" borderId="22" xfId="0" applyFont="1" applyBorder="1" applyProtection="1">
      <protection locked="0"/>
    </xf>
    <xf numFmtId="0" fontId="11" fillId="0" borderId="35" xfId="0" applyFont="1" applyBorder="1" applyAlignment="1" applyProtection="1">
      <alignment horizontal="center"/>
      <protection locked="0"/>
    </xf>
    <xf numFmtId="0" fontId="11" fillId="0" borderId="35" xfId="0" applyFont="1" applyBorder="1" applyAlignment="1" applyProtection="1">
      <alignment horizontal="left"/>
      <protection locked="0"/>
    </xf>
    <xf numFmtId="0" fontId="11" fillId="0" borderId="35" xfId="0" applyFont="1" applyBorder="1" applyProtection="1">
      <protection locked="0"/>
    </xf>
    <xf numFmtId="0" fontId="11" fillId="0" borderId="21" xfId="0" applyFont="1" applyBorder="1" applyProtection="1">
      <protection locked="0"/>
    </xf>
    <xf numFmtId="0" fontId="11" fillId="0" borderId="22" xfId="2" applyFont="1" applyBorder="1" applyProtection="1">
      <protection locked="0"/>
    </xf>
    <xf numFmtId="0" fontId="11" fillId="0" borderId="35" xfId="2" applyFont="1" applyBorder="1" applyProtection="1">
      <protection locked="0"/>
    </xf>
    <xf numFmtId="0" fontId="11" fillId="0" borderId="21" xfId="2" applyFont="1" applyBorder="1" applyProtection="1">
      <protection locked="0"/>
    </xf>
    <xf numFmtId="0" fontId="11" fillId="7" borderId="6" xfId="0" applyFont="1" applyFill="1" applyBorder="1" applyAlignment="1" applyProtection="1">
      <alignment horizontal="left"/>
      <protection locked="0"/>
    </xf>
    <xf numFmtId="0" fontId="11" fillId="7" borderId="3" xfId="0" applyFont="1" applyFill="1" applyBorder="1" applyProtection="1">
      <protection locked="0"/>
    </xf>
    <xf numFmtId="39" fontId="11" fillId="3" borderId="3" xfId="0" applyNumberFormat="1" applyFont="1" applyFill="1" applyBorder="1"/>
    <xf numFmtId="39" fontId="11" fillId="7" borderId="5" xfId="0" applyNumberFormat="1" applyFont="1" applyFill="1" applyBorder="1"/>
    <xf numFmtId="0" fontId="11" fillId="0" borderId="4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165" fontId="11" fillId="0" borderId="24" xfId="0" applyNumberFormat="1" applyFont="1" applyBorder="1" applyAlignment="1">
      <alignment horizontal="center"/>
    </xf>
    <xf numFmtId="39" fontId="11" fillId="0" borderId="1" xfId="0" applyNumberFormat="1" applyFont="1" applyBorder="1"/>
    <xf numFmtId="39" fontId="11" fillId="7" borderId="0" xfId="0" applyNumberFormat="1" applyFont="1" applyFill="1" applyProtection="1">
      <protection locked="0"/>
    </xf>
    <xf numFmtId="39" fontId="13" fillId="0" borderId="3" xfId="0" applyNumberFormat="1" applyFont="1" applyBorder="1"/>
    <xf numFmtId="39" fontId="13" fillId="7" borderId="0" xfId="0" applyNumberFormat="1" applyFont="1" applyFill="1" applyProtection="1">
      <protection locked="0"/>
    </xf>
    <xf numFmtId="0" fontId="12" fillId="0" borderId="2" xfId="0" applyFont="1" applyBorder="1" applyAlignment="1">
      <alignment horizontal="left"/>
    </xf>
    <xf numFmtId="0" fontId="11" fillId="0" borderId="3" xfId="0" applyFont="1" applyBorder="1"/>
    <xf numFmtId="39" fontId="13" fillId="0" borderId="15" xfId="0" applyNumberFormat="1" applyFont="1" applyBorder="1"/>
    <xf numFmtId="39" fontId="13" fillId="0" borderId="16" xfId="0" applyNumberFormat="1" applyFont="1" applyBorder="1"/>
    <xf numFmtId="39" fontId="13" fillId="0" borderId="17" xfId="0" applyNumberFormat="1" applyFont="1" applyBorder="1"/>
    <xf numFmtId="0" fontId="11" fillId="0" borderId="2" xfId="0" applyFont="1" applyBorder="1" applyAlignment="1">
      <alignment horizontal="left"/>
    </xf>
    <xf numFmtId="10" fontId="11" fillId="7" borderId="3" xfId="0" applyNumberFormat="1" applyFont="1" applyFill="1" applyBorder="1"/>
    <xf numFmtId="0" fontId="11" fillId="2" borderId="4" xfId="0" quotePrefix="1" applyFont="1" applyFill="1" applyBorder="1" applyAlignment="1">
      <alignment horizontal="left"/>
    </xf>
    <xf numFmtId="0" fontId="11" fillId="2" borderId="1" xfId="0" applyFont="1" applyFill="1" applyBorder="1"/>
    <xf numFmtId="39" fontId="11" fillId="7" borderId="1" xfId="0" applyNumberFormat="1" applyFont="1" applyFill="1" applyBorder="1"/>
    <xf numFmtId="0" fontId="11" fillId="0" borderId="14" xfId="0" applyFont="1" applyBorder="1"/>
    <xf numFmtId="0" fontId="11" fillId="0" borderId="8" xfId="0" applyFont="1" applyBorder="1"/>
    <xf numFmtId="0" fontId="11" fillId="0" borderId="9" xfId="0" applyFont="1" applyBorder="1"/>
    <xf numFmtId="0" fontId="11" fillId="0" borderId="7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" xfId="0" applyFont="1" applyBorder="1"/>
    <xf numFmtId="0" fontId="11" fillId="0" borderId="6" xfId="0" applyFont="1" applyBorder="1"/>
    <xf numFmtId="0" fontId="11" fillId="0" borderId="11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36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2" xfId="0" applyFont="1" applyBorder="1"/>
    <xf numFmtId="0" fontId="11" fillId="0" borderId="5" xfId="0" applyFont="1" applyBorder="1"/>
    <xf numFmtId="0" fontId="11" fillId="0" borderId="4" xfId="0" applyFont="1" applyBorder="1"/>
    <xf numFmtId="0" fontId="11" fillId="0" borderId="31" xfId="0" applyFont="1" applyBorder="1"/>
    <xf numFmtId="39" fontId="11" fillId="7" borderId="33" xfId="0" applyNumberFormat="1" applyFont="1" applyFill="1" applyBorder="1"/>
    <xf numFmtId="0" fontId="11" fillId="7" borderId="0" xfId="0" applyFont="1" applyFill="1" applyAlignment="1" applyProtection="1">
      <alignment horizontal="left"/>
      <protection locked="0"/>
    </xf>
    <xf numFmtId="0" fontId="11" fillId="0" borderId="0" xfId="2" applyFont="1" applyAlignment="1">
      <alignment horizontal="center"/>
    </xf>
    <xf numFmtId="14" fontId="11" fillId="0" borderId="0" xfId="2" applyNumberFormat="1" applyFont="1" applyAlignment="1">
      <alignment horizontal="center"/>
    </xf>
    <xf numFmtId="14" fontId="12" fillId="0" borderId="0" xfId="2" applyNumberFormat="1" applyFont="1" applyAlignment="1">
      <alignment horizontal="left"/>
    </xf>
    <xf numFmtId="0" fontId="12" fillId="7" borderId="26" xfId="1" applyNumberFormat="1" applyFont="1" applyFill="1" applyBorder="1" applyAlignment="1">
      <alignment horizontal="left"/>
    </xf>
    <xf numFmtId="0" fontId="12" fillId="0" borderId="0" xfId="2" applyFont="1" applyAlignment="1">
      <alignment horizontal="right"/>
    </xf>
    <xf numFmtId="44" fontId="11" fillId="0" borderId="0" xfId="1" applyFont="1" applyBorder="1"/>
    <xf numFmtId="0" fontId="12" fillId="0" borderId="22" xfId="2" applyFont="1" applyBorder="1" applyProtection="1">
      <protection locked="0"/>
    </xf>
    <xf numFmtId="0" fontId="12" fillId="0" borderId="23" xfId="2" applyFont="1" applyBorder="1" applyProtection="1">
      <protection locked="0"/>
    </xf>
    <xf numFmtId="0" fontId="12" fillId="0" borderId="23" xfId="2" applyFont="1" applyBorder="1" applyAlignment="1" applyProtection="1">
      <alignment horizontal="center"/>
      <protection locked="0"/>
    </xf>
    <xf numFmtId="0" fontId="12" fillId="0" borderId="21" xfId="2" applyFont="1" applyBorder="1" applyAlignment="1" applyProtection="1">
      <alignment horizontal="center"/>
      <protection locked="0"/>
    </xf>
    <xf numFmtId="0" fontId="12" fillId="0" borderId="20" xfId="2" applyFont="1" applyBorder="1" applyAlignment="1" applyProtection="1">
      <alignment horizontal="center"/>
      <protection locked="0"/>
    </xf>
    <xf numFmtId="14" fontId="11" fillId="0" borderId="18" xfId="2" applyNumberFormat="1" applyFont="1" applyBorder="1" applyAlignment="1" applyProtection="1">
      <alignment horizontal="center"/>
      <protection locked="0"/>
    </xf>
    <xf numFmtId="0" fontId="11" fillId="0" borderId="19" xfId="2" applyFont="1" applyBorder="1" applyAlignment="1" applyProtection="1">
      <alignment horizontal="center"/>
      <protection locked="0"/>
    </xf>
    <xf numFmtId="0" fontId="11" fillId="0" borderId="20" xfId="2" applyFont="1" applyBorder="1" applyProtection="1">
      <protection locked="0"/>
    </xf>
    <xf numFmtId="40" fontId="11" fillId="0" borderId="19" xfId="1" applyNumberFormat="1" applyFont="1" applyBorder="1" applyProtection="1">
      <protection locked="0"/>
    </xf>
    <xf numFmtId="0" fontId="11" fillId="0" borderId="18" xfId="2" applyFont="1" applyBorder="1" applyAlignment="1" applyProtection="1">
      <alignment horizontal="center"/>
      <protection locked="0"/>
    </xf>
    <xf numFmtId="0" fontId="11" fillId="0" borderId="20" xfId="2" applyFont="1" applyBorder="1" applyAlignment="1" applyProtection="1">
      <alignment horizontal="center"/>
      <protection locked="0"/>
    </xf>
    <xf numFmtId="0" fontId="11" fillId="0" borderId="21" xfId="2" applyFont="1" applyBorder="1" applyAlignment="1" applyProtection="1">
      <alignment horizontal="center"/>
      <protection locked="0"/>
    </xf>
    <xf numFmtId="14" fontId="11" fillId="0" borderId="21" xfId="2" applyNumberFormat="1" applyFont="1" applyBorder="1" applyAlignment="1" applyProtection="1">
      <alignment horizontal="center"/>
      <protection locked="0"/>
    </xf>
    <xf numFmtId="0" fontId="12" fillId="0" borderId="18" xfId="2" applyFont="1" applyBorder="1"/>
    <xf numFmtId="0" fontId="11" fillId="0" borderId="29" xfId="2" applyFont="1" applyBorder="1"/>
    <xf numFmtId="0" fontId="11" fillId="0" borderId="30" xfId="2" applyFont="1" applyBorder="1"/>
    <xf numFmtId="44" fontId="11" fillId="7" borderId="18" xfId="1" applyFont="1" applyFill="1" applyBorder="1"/>
    <xf numFmtId="0" fontId="11" fillId="0" borderId="19" xfId="1" applyNumberFormat="1" applyFont="1" applyBorder="1"/>
    <xf numFmtId="0" fontId="11" fillId="7" borderId="6" xfId="0" applyFont="1" applyFill="1" applyBorder="1" applyAlignment="1">
      <alignment horizontal="left"/>
    </xf>
    <xf numFmtId="0" fontId="12" fillId="0" borderId="27" xfId="0" applyFont="1" applyBorder="1" applyAlignment="1">
      <alignment horizontal="right"/>
    </xf>
    <xf numFmtId="0" fontId="12" fillId="0" borderId="25" xfId="0" applyFont="1" applyBorder="1" applyAlignment="1">
      <alignment horizontal="right"/>
    </xf>
    <xf numFmtId="39" fontId="11" fillId="7" borderId="3" xfId="0" applyNumberFormat="1" applyFont="1" applyFill="1" applyBorder="1" applyProtection="1">
      <protection locked="0"/>
    </xf>
    <xf numFmtId="0" fontId="11" fillId="0" borderId="31" xfId="0" applyFont="1" applyBorder="1" applyAlignment="1">
      <alignment horizontal="left"/>
    </xf>
    <xf numFmtId="0" fontId="11" fillId="0" borderId="37" xfId="0" applyFont="1" applyBorder="1" applyAlignment="1">
      <alignment horizontal="left"/>
    </xf>
    <xf numFmtId="0" fontId="1" fillId="4" borderId="0" xfId="2" applyFill="1"/>
    <xf numFmtId="0" fontId="1" fillId="8" borderId="0" xfId="2" applyFill="1"/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39" fontId="11" fillId="0" borderId="1" xfId="0" applyNumberFormat="1" applyFont="1" applyBorder="1" applyProtection="1">
      <protection locked="0"/>
    </xf>
    <xf numFmtId="0" fontId="1" fillId="9" borderId="0" xfId="2" applyFill="1"/>
    <xf numFmtId="0" fontId="12" fillId="7" borderId="0" xfId="0" applyFont="1" applyFill="1" applyAlignment="1">
      <alignment horizontal="centerContinuous"/>
    </xf>
    <xf numFmtId="0" fontId="12" fillId="7" borderId="0" xfId="0" applyFont="1" applyFill="1"/>
    <xf numFmtId="0" fontId="11" fillId="7" borderId="0" xfId="0" applyFont="1" applyFill="1"/>
    <xf numFmtId="15" fontId="12" fillId="7" borderId="0" xfId="0" applyNumberFormat="1" applyFont="1" applyFill="1" applyAlignment="1">
      <alignment horizontal="left"/>
    </xf>
    <xf numFmtId="0" fontId="11" fillId="7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39" fontId="11" fillId="7" borderId="0" xfId="0" applyNumberFormat="1" applyFont="1" applyFill="1"/>
    <xf numFmtId="39" fontId="13" fillId="7" borderId="0" xfId="0" applyNumberFormat="1" applyFont="1" applyFill="1"/>
    <xf numFmtId="0" fontId="11" fillId="7" borderId="0" xfId="0" applyFont="1" applyFill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33" xfId="0" applyFont="1" applyBorder="1"/>
    <xf numFmtId="165" fontId="6" fillId="0" borderId="25" xfId="0" applyNumberFormat="1" applyFont="1" applyBorder="1" applyAlignment="1">
      <alignment horizontal="center" wrapText="1"/>
    </xf>
    <xf numFmtId="0" fontId="12" fillId="0" borderId="0" xfId="2" applyFont="1" applyAlignment="1" applyProtection="1">
      <alignment horizontal="center"/>
      <protection locked="0"/>
    </xf>
    <xf numFmtId="0" fontId="11" fillId="0" borderId="0" xfId="2" applyFont="1" applyAlignment="1" applyProtection="1">
      <alignment horizontal="center"/>
      <protection locked="0"/>
    </xf>
    <xf numFmtId="0" fontId="12" fillId="0" borderId="0" xfId="2" applyFont="1" applyAlignment="1" applyProtection="1">
      <alignment horizontal="left"/>
      <protection locked="0"/>
    </xf>
    <xf numFmtId="0" fontId="11" fillId="0" borderId="0" xfId="2" applyFont="1" applyAlignment="1" applyProtection="1">
      <alignment horizontal="left"/>
      <protection locked="0"/>
    </xf>
    <xf numFmtId="0" fontId="11" fillId="7" borderId="42" xfId="0" applyFont="1" applyFill="1" applyBorder="1" applyAlignment="1" applyProtection="1">
      <alignment horizontal="centerContinuous"/>
      <protection locked="0"/>
    </xf>
    <xf numFmtId="0" fontId="11" fillId="7" borderId="26" xfId="0" applyFont="1" applyFill="1" applyBorder="1" applyAlignment="1" applyProtection="1">
      <alignment horizontal="centerContinuous"/>
      <protection locked="0"/>
    </xf>
    <xf numFmtId="0" fontId="11" fillId="7" borderId="0" xfId="2" applyFont="1" applyFill="1" applyAlignment="1" applyProtection="1">
      <alignment horizontal="center"/>
      <protection locked="0"/>
    </xf>
    <xf numFmtId="0" fontId="11" fillId="7" borderId="0" xfId="2" applyFont="1" applyFill="1" applyAlignment="1" applyProtection="1">
      <alignment horizontal="left"/>
      <protection locked="0"/>
    </xf>
    <xf numFmtId="0" fontId="11" fillId="0" borderId="0" xfId="1" applyNumberFormat="1" applyFont="1" applyBorder="1" applyProtection="1">
      <protection locked="0"/>
    </xf>
    <xf numFmtId="0" fontId="11" fillId="0" borderId="0" xfId="1" applyNumberFormat="1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7" borderId="42" xfId="0" applyFont="1" applyFill="1" applyBorder="1" applyAlignment="1">
      <alignment horizontal="centerContinuous"/>
    </xf>
    <xf numFmtId="0" fontId="11" fillId="7" borderId="26" xfId="0" applyFont="1" applyFill="1" applyBorder="1" applyAlignment="1">
      <alignment horizontal="centerContinuous"/>
    </xf>
    <xf numFmtId="0" fontId="11" fillId="7" borderId="0" xfId="2" applyFont="1" applyFill="1" applyAlignment="1">
      <alignment horizontal="center"/>
    </xf>
    <xf numFmtId="0" fontId="11" fillId="7" borderId="0" xfId="2" applyFont="1" applyFill="1" applyAlignment="1">
      <alignment horizontal="left"/>
    </xf>
    <xf numFmtId="0" fontId="11" fillId="0" borderId="0" xfId="2" applyFont="1" applyAlignment="1">
      <alignment horizontal="right"/>
    </xf>
    <xf numFmtId="0" fontId="11" fillId="0" borderId="9" xfId="0" applyFont="1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right"/>
      <protection locked="0"/>
    </xf>
    <xf numFmtId="165" fontId="11" fillId="0" borderId="24" xfId="0" applyNumberFormat="1" applyFont="1" applyBorder="1" applyAlignment="1">
      <alignment horizontal="right"/>
    </xf>
    <xf numFmtId="165" fontId="6" fillId="0" borderId="25" xfId="0" applyNumberFormat="1" applyFont="1" applyBorder="1" applyAlignment="1">
      <alignment horizontal="right" wrapText="1"/>
    </xf>
    <xf numFmtId="10" fontId="11" fillId="7" borderId="3" xfId="0" applyNumberFormat="1" applyFont="1" applyFill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166" fontId="11" fillId="0" borderId="3" xfId="0" applyNumberFormat="1" applyFont="1" applyBorder="1" applyProtection="1">
      <protection locked="0"/>
    </xf>
    <xf numFmtId="166" fontId="11" fillId="0" borderId="6" xfId="0" applyNumberFormat="1" applyFont="1" applyBorder="1" applyAlignment="1" applyProtection="1">
      <alignment horizontal="right"/>
      <protection locked="0"/>
    </xf>
    <xf numFmtId="166" fontId="11" fillId="7" borderId="3" xfId="0" applyNumberFormat="1" applyFont="1" applyFill="1" applyBorder="1" applyAlignment="1" applyProtection="1">
      <alignment horizontal="right"/>
      <protection locked="0"/>
    </xf>
    <xf numFmtId="166" fontId="11" fillId="0" borderId="3" xfId="0" applyNumberFormat="1" applyFont="1" applyBorder="1" applyAlignment="1" applyProtection="1">
      <alignment horizontal="right"/>
      <protection locked="0"/>
    </xf>
    <xf numFmtId="166" fontId="11" fillId="0" borderId="0" xfId="2" applyNumberFormat="1" applyFont="1" applyAlignment="1">
      <alignment horizontal="right"/>
    </xf>
    <xf numFmtId="166" fontId="12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166" fontId="11" fillId="0" borderId="9" xfId="0" applyNumberFormat="1" applyFont="1" applyBorder="1" applyAlignment="1" applyProtection="1">
      <alignment horizontal="right"/>
      <protection locked="0"/>
    </xf>
    <xf numFmtId="166" fontId="11" fillId="0" borderId="1" xfId="0" applyNumberFormat="1" applyFont="1" applyBorder="1" applyAlignment="1" applyProtection="1">
      <alignment horizontal="right"/>
      <protection locked="0"/>
    </xf>
    <xf numFmtId="166" fontId="12" fillId="0" borderId="27" xfId="0" applyNumberFormat="1" applyFont="1" applyBorder="1" applyAlignment="1">
      <alignment horizontal="right"/>
    </xf>
    <xf numFmtId="166" fontId="11" fillId="0" borderId="24" xfId="0" applyNumberFormat="1" applyFont="1" applyBorder="1" applyAlignment="1">
      <alignment horizontal="right"/>
    </xf>
    <xf numFmtId="166" fontId="12" fillId="0" borderId="25" xfId="0" applyNumberFormat="1" applyFont="1" applyBorder="1" applyAlignment="1">
      <alignment horizontal="right"/>
    </xf>
    <xf numFmtId="166" fontId="6" fillId="0" borderId="25" xfId="0" applyNumberFormat="1" applyFont="1" applyBorder="1" applyAlignment="1">
      <alignment horizontal="right" wrapText="1"/>
    </xf>
    <xf numFmtId="166" fontId="11" fillId="7" borderId="3" xfId="0" applyNumberFormat="1" applyFont="1" applyFill="1" applyBorder="1" applyAlignment="1">
      <alignment horizontal="right"/>
    </xf>
    <xf numFmtId="166" fontId="11" fillId="0" borderId="6" xfId="0" applyNumberFormat="1" applyFont="1" applyBorder="1" applyAlignment="1">
      <alignment horizontal="right"/>
    </xf>
    <xf numFmtId="166" fontId="11" fillId="0" borderId="3" xfId="0" applyNumberFormat="1" applyFont="1" applyBorder="1" applyAlignment="1">
      <alignment horizontal="right"/>
    </xf>
    <xf numFmtId="166" fontId="11" fillId="0" borderId="5" xfId="0" applyNumberFormat="1" applyFont="1" applyBorder="1" applyAlignment="1">
      <alignment horizontal="right"/>
    </xf>
    <xf numFmtId="166" fontId="12" fillId="0" borderId="0" xfId="0" applyNumberFormat="1" applyFont="1" applyAlignment="1">
      <alignment horizontal="centerContinuous"/>
    </xf>
    <xf numFmtId="166" fontId="11" fillId="0" borderId="0" xfId="2" applyNumberFormat="1" applyFont="1"/>
    <xf numFmtId="166" fontId="12" fillId="0" borderId="0" xfId="0" applyNumberFormat="1" applyFont="1" applyAlignment="1">
      <alignment horizontal="left"/>
    </xf>
    <xf numFmtId="166" fontId="11" fillId="0" borderId="0" xfId="0" applyNumberFormat="1" applyFont="1"/>
    <xf numFmtId="166" fontId="11" fillId="0" borderId="9" xfId="0" applyNumberFormat="1" applyFont="1" applyBorder="1" applyProtection="1">
      <protection locked="0"/>
    </xf>
    <xf numFmtId="166" fontId="11" fillId="0" borderId="1" xfId="0" applyNumberFormat="1" applyFont="1" applyBorder="1" applyProtection="1">
      <protection locked="0"/>
    </xf>
    <xf numFmtId="166" fontId="11" fillId="0" borderId="24" xfId="0" applyNumberFormat="1" applyFont="1" applyBorder="1" applyAlignment="1">
      <alignment horizontal="center"/>
    </xf>
    <xf numFmtId="166" fontId="6" fillId="0" borderId="25" xfId="0" applyNumberFormat="1" applyFont="1" applyBorder="1" applyAlignment="1">
      <alignment horizontal="center" wrapText="1"/>
    </xf>
    <xf numFmtId="166" fontId="11" fillId="7" borderId="3" xfId="0" applyNumberFormat="1" applyFont="1" applyFill="1" applyBorder="1"/>
    <xf numFmtId="166" fontId="11" fillId="0" borderId="6" xfId="0" applyNumberFormat="1" applyFont="1" applyBorder="1"/>
    <xf numFmtId="166" fontId="11" fillId="0" borderId="3" xfId="0" applyNumberFormat="1" applyFont="1" applyBorder="1"/>
    <xf numFmtId="166" fontId="11" fillId="0" borderId="5" xfId="0" applyNumberFormat="1" applyFont="1" applyBorder="1"/>
    <xf numFmtId="166" fontId="11" fillId="0" borderId="0" xfId="2" applyNumberFormat="1" applyFont="1" applyAlignment="1" applyProtection="1">
      <alignment horizontal="left"/>
      <protection locked="0"/>
    </xf>
    <xf numFmtId="166" fontId="12" fillId="0" borderId="0" xfId="2" applyNumberFormat="1" applyFont="1" applyAlignment="1" applyProtection="1">
      <alignment horizontal="left"/>
      <protection locked="0"/>
    </xf>
    <xf numFmtId="166" fontId="11" fillId="7" borderId="0" xfId="0" applyNumberFormat="1" applyFont="1" applyFill="1" applyAlignment="1">
      <alignment horizontal="centerContinuous"/>
    </xf>
    <xf numFmtId="166" fontId="11" fillId="7" borderId="0" xfId="2" applyNumberFormat="1" applyFont="1" applyFill="1" applyAlignment="1">
      <alignment horizontal="left"/>
    </xf>
    <xf numFmtId="166" fontId="11" fillId="0" borderId="0" xfId="1" applyNumberFormat="1" applyFont="1" applyBorder="1" applyAlignment="1" applyProtection="1">
      <alignment horizontal="left"/>
      <protection locked="0"/>
    </xf>
    <xf numFmtId="166" fontId="11" fillId="0" borderId="0" xfId="0" applyNumberFormat="1" applyFont="1" applyAlignment="1" applyProtection="1">
      <alignment horizontal="left"/>
      <protection locked="0"/>
    </xf>
    <xf numFmtId="0" fontId="11" fillId="7" borderId="0" xfId="0" applyFont="1" applyFill="1" applyAlignment="1">
      <alignment horizontal="centerContinuous"/>
    </xf>
    <xf numFmtId="166" fontId="11" fillId="0" borderId="0" xfId="2" applyNumberFormat="1" applyFont="1" applyAlignment="1">
      <alignment horizontal="left"/>
    </xf>
    <xf numFmtId="166" fontId="12" fillId="0" borderId="0" xfId="2" applyNumberFormat="1" applyFont="1" applyAlignment="1">
      <alignment horizontal="left"/>
    </xf>
    <xf numFmtId="166" fontId="11" fillId="0" borderId="0" xfId="1" applyNumberFormat="1" applyFont="1" applyBorder="1" applyAlignment="1" applyProtection="1">
      <alignment horizontal="left"/>
    </xf>
    <xf numFmtId="166" fontId="11" fillId="0" borderId="0" xfId="0" applyNumberFormat="1" applyFont="1" applyAlignment="1">
      <alignment horizontal="left"/>
    </xf>
    <xf numFmtId="0" fontId="11" fillId="0" borderId="31" xfId="0" applyFont="1" applyBorder="1" applyProtection="1">
      <protection locked="0"/>
    </xf>
    <xf numFmtId="0" fontId="11" fillId="0" borderId="2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11" fillId="0" borderId="39" xfId="2" applyFont="1" applyBorder="1" applyAlignment="1" applyProtection="1">
      <alignment horizontal="right"/>
      <protection locked="0"/>
    </xf>
    <xf numFmtId="0" fontId="11" fillId="0" borderId="41" xfId="2" applyFont="1" applyBorder="1" applyAlignment="1" applyProtection="1">
      <alignment horizontal="right"/>
      <protection locked="0"/>
    </xf>
    <xf numFmtId="0" fontId="11" fillId="0" borderId="26" xfId="0" applyFont="1" applyBorder="1"/>
    <xf numFmtId="39" fontId="11" fillId="0" borderId="43" xfId="0" applyNumberFormat="1" applyFont="1" applyBorder="1" applyProtection="1">
      <protection locked="0"/>
    </xf>
    <xf numFmtId="39" fontId="11" fillId="7" borderId="44" xfId="0" applyNumberFormat="1" applyFont="1" applyFill="1" applyBorder="1"/>
    <xf numFmtId="39" fontId="11" fillId="7" borderId="45" xfId="0" applyNumberFormat="1" applyFont="1" applyFill="1" applyBorder="1"/>
    <xf numFmtId="0" fontId="11" fillId="0" borderId="0" xfId="2" applyFont="1" applyAlignment="1" applyProtection="1">
      <alignment horizontal="right"/>
      <protection locked="0"/>
    </xf>
    <xf numFmtId="0" fontId="11" fillId="0" borderId="26" xfId="2" applyFont="1" applyBorder="1" applyProtection="1">
      <protection locked="0"/>
    </xf>
    <xf numFmtId="0" fontId="11" fillId="0" borderId="30" xfId="2" applyFont="1" applyBorder="1" applyProtection="1">
      <protection locked="0"/>
    </xf>
    <xf numFmtId="0" fontId="12" fillId="0" borderId="26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35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11" fillId="0" borderId="26" xfId="0" applyFont="1" applyBorder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39" fontId="11" fillId="0" borderId="0" xfId="2" applyNumberFormat="1" applyFont="1"/>
    <xf numFmtId="0" fontId="3" fillId="0" borderId="41" xfId="2" applyFont="1" applyBorder="1" applyAlignment="1" applyProtection="1">
      <alignment horizontal="center"/>
      <protection locked="0"/>
    </xf>
    <xf numFmtId="0" fontId="3" fillId="0" borderId="0" xfId="2" applyFont="1" applyAlignment="1" applyProtection="1">
      <alignment horizontal="center"/>
      <protection locked="0"/>
    </xf>
    <xf numFmtId="0" fontId="11" fillId="0" borderId="41" xfId="2" applyFont="1" applyBorder="1" applyAlignment="1" applyProtection="1">
      <alignment horizontal="center"/>
      <protection locked="0"/>
    </xf>
    <xf numFmtId="0" fontId="11" fillId="0" borderId="26" xfId="2" applyFont="1" applyBorder="1"/>
    <xf numFmtId="0" fontId="1" fillId="0" borderId="18" xfId="2" applyBorder="1"/>
    <xf numFmtId="0" fontId="9" fillId="0" borderId="18" xfId="2" applyFont="1" applyBorder="1"/>
    <xf numFmtId="0" fontId="8" fillId="0" borderId="18" xfId="2" applyFont="1" applyBorder="1"/>
    <xf numFmtId="0" fontId="15" fillId="0" borderId="26" xfId="2" applyFont="1" applyBorder="1"/>
    <xf numFmtId="0" fontId="15" fillId="0" borderId="0" xfId="2" applyFont="1"/>
    <xf numFmtId="0" fontId="16" fillId="0" borderId="26" xfId="0" applyFont="1" applyBorder="1"/>
    <xf numFmtId="44" fontId="16" fillId="0" borderId="18" xfId="1" applyFont="1" applyFill="1" applyBorder="1"/>
    <xf numFmtId="0" fontId="16" fillId="0" borderId="0" xfId="2" applyFont="1"/>
    <xf numFmtId="44" fontId="16" fillId="0" borderId="26" xfId="1" applyFont="1" applyFill="1" applyBorder="1"/>
    <xf numFmtId="0" fontId="11" fillId="0" borderId="42" xfId="0" applyFont="1" applyBorder="1" applyProtection="1">
      <protection locked="0"/>
    </xf>
    <xf numFmtId="0" fontId="16" fillId="0" borderId="0" xfId="0" applyFont="1"/>
    <xf numFmtId="0" fontId="3" fillId="0" borderId="39" xfId="0" applyFont="1" applyBorder="1" applyAlignment="1">
      <alignment vertical="top" wrapText="1"/>
    </xf>
    <xf numFmtId="0" fontId="3" fillId="0" borderId="40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4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3" fillId="0" borderId="42" xfId="0" applyFont="1" applyBorder="1" applyAlignment="1">
      <alignment vertical="top" wrapText="1"/>
    </xf>
    <xf numFmtId="0" fontId="3" fillId="0" borderId="26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8" fillId="0" borderId="16" xfId="0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0" fontId="11" fillId="0" borderId="4" xfId="0" applyFont="1" applyBorder="1" applyAlignment="1">
      <alignment horizontal="center"/>
    </xf>
    <xf numFmtId="0" fontId="11" fillId="0" borderId="1" xfId="0" applyFont="1" applyBorder="1"/>
    <xf numFmtId="0" fontId="12" fillId="5" borderId="6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2" fillId="0" borderId="22" xfId="2" applyFont="1" applyBorder="1" applyAlignment="1" applyProtection="1">
      <alignment horizontal="center" wrapText="1"/>
      <protection locked="0"/>
    </xf>
    <xf numFmtId="0" fontId="11" fillId="0" borderId="21" xfId="0" applyFont="1" applyBorder="1" applyProtection="1">
      <protection locked="0"/>
    </xf>
    <xf numFmtId="0" fontId="12" fillId="0" borderId="22" xfId="2" applyFont="1" applyBorder="1" applyAlignment="1" applyProtection="1">
      <alignment horizontal="center"/>
      <protection locked="0"/>
    </xf>
    <xf numFmtId="0" fontId="11" fillId="0" borderId="21" xfId="0" applyFont="1" applyBorder="1" applyAlignment="1" applyProtection="1">
      <alignment horizontal="center"/>
      <protection locked="0"/>
    </xf>
    <xf numFmtId="0" fontId="12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4" fillId="0" borderId="41" xfId="2" applyFont="1" applyBorder="1" applyAlignment="1" applyProtection="1">
      <alignment horizontal="center"/>
      <protection locked="0"/>
    </xf>
    <xf numFmtId="0" fontId="14" fillId="0" borderId="0" xfId="2" applyFont="1" applyAlignment="1" applyProtection="1">
      <alignment horizontal="center"/>
      <protection locked="0"/>
    </xf>
    <xf numFmtId="0" fontId="11" fillId="0" borderId="7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0" fontId="12" fillId="0" borderId="27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2" fillId="6" borderId="6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1" xfId="0" applyFont="1" applyBorder="1" applyProtection="1">
      <protection locked="0"/>
    </xf>
    <xf numFmtId="0" fontId="10" fillId="0" borderId="16" xfId="0" applyFont="1" applyBorder="1" applyAlignment="1">
      <alignment horizontal="right"/>
    </xf>
    <xf numFmtId="0" fontId="10" fillId="0" borderId="17" xfId="0" applyFont="1" applyBorder="1" applyAlignment="1">
      <alignment horizontal="right"/>
    </xf>
  </cellXfs>
  <cellStyles count="3">
    <cellStyle name="Currency" xfId="1" builtinId="4"/>
    <cellStyle name="Normal" xfId="0" builtinId="0"/>
    <cellStyle name="Normal_dcc2-17" xfId="2" xr:uid="{00000000-0005-0000-0000-000002000000}"/>
  </cellStyles>
  <dxfs count="428"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8"/>
  <sheetViews>
    <sheetView tabSelected="1" view="pageBreakPreview" zoomScale="75" zoomScaleNormal="75" zoomScaleSheetLayoutView="75" workbookViewId="0">
      <selection activeCell="A17" sqref="A17:G28"/>
    </sheetView>
  </sheetViews>
  <sheetFormatPr defaultColWidth="9.77734375" defaultRowHeight="15" x14ac:dyDescent="0.2"/>
  <cols>
    <col min="1" max="1" width="4.77734375" style="2" customWidth="1"/>
    <col min="2" max="2" width="11.33203125" style="2" customWidth="1"/>
    <col min="3" max="3" width="44.44140625" style="2" customWidth="1"/>
    <col min="4" max="7" width="17.77734375" style="2" customWidth="1"/>
    <col min="8" max="8" width="2.21875" style="2" customWidth="1"/>
    <col min="9" max="9" width="9.77734375" style="2"/>
    <col min="10" max="10" width="20.33203125" style="2" customWidth="1"/>
    <col min="11" max="12" width="9.77734375" style="2"/>
    <col min="13" max="13" width="11.6640625" style="2" customWidth="1"/>
    <col min="14" max="14" width="11.21875" style="2" customWidth="1"/>
    <col min="15" max="15" width="10.88671875" style="2" customWidth="1"/>
    <col min="16" max="16384" width="9.77734375" style="2"/>
  </cols>
  <sheetData>
    <row r="1" spans="1:26" ht="18" x14ac:dyDescent="0.25">
      <c r="A1" s="16" t="s">
        <v>0</v>
      </c>
      <c r="B1" s="16"/>
      <c r="C1" s="16"/>
      <c r="D1" s="16"/>
      <c r="E1" s="16"/>
      <c r="F1" s="16"/>
      <c r="G1" s="16"/>
      <c r="L1" s="2" t="s">
        <v>1</v>
      </c>
      <c r="M1" s="2" t="s">
        <v>2</v>
      </c>
      <c r="N1" s="2" t="s">
        <v>3</v>
      </c>
      <c r="O1" s="2" t="s">
        <v>4</v>
      </c>
      <c r="Y1" s="2" t="s">
        <v>5</v>
      </c>
      <c r="Z1" s="2" t="s">
        <v>6</v>
      </c>
    </row>
    <row r="2" spans="1:26" ht="18" x14ac:dyDescent="0.25">
      <c r="A2" s="16" t="s">
        <v>7</v>
      </c>
      <c r="B2" s="16"/>
      <c r="C2" s="16"/>
      <c r="D2" s="16"/>
      <c r="E2" s="16"/>
      <c r="F2" s="16"/>
      <c r="G2" s="16"/>
    </row>
    <row r="3" spans="1:26" ht="15.75" x14ac:dyDescent="0.25">
      <c r="J3" s="7" t="s">
        <v>8</v>
      </c>
      <c r="K3" s="2">
        <f>F7</f>
        <v>0</v>
      </c>
      <c r="Y3" s="2">
        <f>SUM(M3:X3)</f>
        <v>0</v>
      </c>
      <c r="Z3" s="2">
        <f>K3-Y3</f>
        <v>0</v>
      </c>
    </row>
    <row r="4" spans="1:26" ht="15.75" x14ac:dyDescent="0.25">
      <c r="J4" s="7" t="s">
        <v>8</v>
      </c>
      <c r="K4" s="2">
        <f t="shared" ref="K4:K7" si="0">F8</f>
        <v>0</v>
      </c>
      <c r="Y4" s="2">
        <f t="shared" ref="Y4:Y7" si="1">SUM(M4:X4)</f>
        <v>0</v>
      </c>
      <c r="Z4" s="2">
        <f t="shared" ref="Z4:Z7" si="2">K4-Y4</f>
        <v>0</v>
      </c>
    </row>
    <row r="5" spans="1:26" ht="18" customHeight="1" x14ac:dyDescent="0.25">
      <c r="G5"/>
      <c r="J5" s="7" t="s">
        <v>8</v>
      </c>
      <c r="K5" s="2">
        <f t="shared" si="0"/>
        <v>0</v>
      </c>
      <c r="Y5" s="2">
        <f t="shared" si="1"/>
        <v>0</v>
      </c>
      <c r="Z5" s="2">
        <f t="shared" si="2"/>
        <v>0</v>
      </c>
    </row>
    <row r="6" spans="1:26" ht="18" customHeight="1" x14ac:dyDescent="0.25">
      <c r="F6" s="7"/>
      <c r="J6" s="7" t="s">
        <v>8</v>
      </c>
      <c r="K6" s="2">
        <f t="shared" si="0"/>
        <v>0</v>
      </c>
      <c r="Y6" s="2">
        <f t="shared" si="1"/>
        <v>0</v>
      </c>
      <c r="Z6" s="2">
        <f t="shared" si="2"/>
        <v>0</v>
      </c>
    </row>
    <row r="7" spans="1:26" ht="20.100000000000001" customHeight="1" x14ac:dyDescent="0.25">
      <c r="A7" s="7" t="s">
        <v>9</v>
      </c>
      <c r="C7" s="10"/>
      <c r="E7" s="7" t="s">
        <v>8</v>
      </c>
      <c r="F7" s="11"/>
      <c r="G7" s="8"/>
      <c r="J7" s="7" t="s">
        <v>8</v>
      </c>
      <c r="K7" s="2">
        <f t="shared" si="0"/>
        <v>0</v>
      </c>
      <c r="Y7" s="2">
        <f t="shared" si="1"/>
        <v>0</v>
      </c>
      <c r="Z7" s="2">
        <f t="shared" si="2"/>
        <v>0</v>
      </c>
    </row>
    <row r="8" spans="1:26" ht="20.100000000000001" customHeight="1" x14ac:dyDescent="0.25">
      <c r="A8" s="7"/>
      <c r="E8" s="7" t="s">
        <v>8</v>
      </c>
      <c r="F8" s="11"/>
      <c r="G8" s="8"/>
    </row>
    <row r="9" spans="1:26" ht="20.100000000000001" customHeight="1" x14ac:dyDescent="0.25">
      <c r="A9" s="7"/>
      <c r="E9" s="7" t="s">
        <v>8</v>
      </c>
      <c r="F9" s="11"/>
      <c r="G9" s="8"/>
    </row>
    <row r="10" spans="1:26" ht="20.100000000000001" customHeight="1" x14ac:dyDescent="0.25">
      <c r="A10" s="7"/>
      <c r="E10" s="7" t="s">
        <v>8</v>
      </c>
      <c r="F10" s="11"/>
      <c r="G10" s="8"/>
    </row>
    <row r="11" spans="1:26" ht="20.100000000000001" customHeight="1" x14ac:dyDescent="0.25">
      <c r="A11" s="7"/>
      <c r="E11" s="7" t="s">
        <v>8</v>
      </c>
      <c r="F11" s="11"/>
      <c r="G11" s="8"/>
    </row>
    <row r="12" spans="1:26" ht="20.100000000000001" customHeight="1" x14ac:dyDescent="0.25">
      <c r="A12" s="7"/>
      <c r="E12" s="3"/>
      <c r="F12" s="17"/>
      <c r="G12" s="8"/>
    </row>
    <row r="13" spans="1:26" ht="20.100000000000001" customHeight="1" x14ac:dyDescent="0.25">
      <c r="A13" s="7" t="s">
        <v>10</v>
      </c>
      <c r="C13" s="10"/>
      <c r="E13" s="7" t="s">
        <v>11</v>
      </c>
      <c r="F13" s="11"/>
    </row>
    <row r="14" spans="1:26" ht="12" customHeight="1" x14ac:dyDescent="0.25">
      <c r="A14" s="7"/>
    </row>
    <row r="15" spans="1:26" ht="9.9499999999999993" customHeight="1" x14ac:dyDescent="0.2"/>
    <row r="16" spans="1:26" ht="15.75" x14ac:dyDescent="0.25">
      <c r="A16" s="18" t="s">
        <v>12</v>
      </c>
      <c r="B16" s="4"/>
    </row>
    <row r="17" spans="1:7" s="35" customFormat="1" ht="15" customHeight="1" x14ac:dyDescent="0.25">
      <c r="A17" s="289"/>
      <c r="B17" s="290"/>
      <c r="C17" s="290"/>
      <c r="D17" s="290"/>
      <c r="E17" s="290"/>
      <c r="F17" s="290"/>
      <c r="G17" s="291"/>
    </row>
    <row r="18" spans="1:7" s="35" customFormat="1" ht="15" customHeight="1" x14ac:dyDescent="0.25">
      <c r="A18" s="292"/>
      <c r="B18" s="293"/>
      <c r="C18" s="293"/>
      <c r="D18" s="293"/>
      <c r="E18" s="293"/>
      <c r="F18" s="293"/>
      <c r="G18" s="294"/>
    </row>
    <row r="19" spans="1:7" s="35" customFormat="1" ht="15" customHeight="1" x14ac:dyDescent="0.25">
      <c r="A19" s="292"/>
      <c r="B19" s="293"/>
      <c r="C19" s="293"/>
      <c r="D19" s="293"/>
      <c r="E19" s="293"/>
      <c r="F19" s="293"/>
      <c r="G19" s="294"/>
    </row>
    <row r="20" spans="1:7" s="35" customFormat="1" ht="15" customHeight="1" x14ac:dyDescent="0.25">
      <c r="A20" s="292"/>
      <c r="B20" s="293"/>
      <c r="C20" s="293"/>
      <c r="D20" s="293"/>
      <c r="E20" s="293"/>
      <c r="F20" s="293"/>
      <c r="G20" s="294"/>
    </row>
    <row r="21" spans="1:7" s="35" customFormat="1" ht="15" customHeight="1" x14ac:dyDescent="0.25">
      <c r="A21" s="292"/>
      <c r="B21" s="293"/>
      <c r="C21" s="293"/>
      <c r="D21" s="293"/>
      <c r="E21" s="293"/>
      <c r="F21" s="293"/>
      <c r="G21" s="294"/>
    </row>
    <row r="22" spans="1:7" s="35" customFormat="1" ht="15" customHeight="1" x14ac:dyDescent="0.25">
      <c r="A22" s="292"/>
      <c r="B22" s="293"/>
      <c r="C22" s="293"/>
      <c r="D22" s="293"/>
      <c r="E22" s="293"/>
      <c r="F22" s="293"/>
      <c r="G22" s="294"/>
    </row>
    <row r="23" spans="1:7" s="35" customFormat="1" ht="15" customHeight="1" x14ac:dyDescent="0.25">
      <c r="A23" s="292"/>
      <c r="B23" s="293"/>
      <c r="C23" s="293"/>
      <c r="D23" s="293"/>
      <c r="E23" s="293"/>
      <c r="F23" s="293"/>
      <c r="G23" s="294"/>
    </row>
    <row r="24" spans="1:7" s="35" customFormat="1" ht="15" customHeight="1" x14ac:dyDescent="0.25">
      <c r="A24" s="292"/>
      <c r="B24" s="293"/>
      <c r="C24" s="293"/>
      <c r="D24" s="293"/>
      <c r="E24" s="293"/>
      <c r="F24" s="293"/>
      <c r="G24" s="294"/>
    </row>
    <row r="25" spans="1:7" s="35" customFormat="1" ht="15" customHeight="1" x14ac:dyDescent="0.25">
      <c r="A25" s="292"/>
      <c r="B25" s="293"/>
      <c r="C25" s="293"/>
      <c r="D25" s="293"/>
      <c r="E25" s="293"/>
      <c r="F25" s="293"/>
      <c r="G25" s="294"/>
    </row>
    <row r="26" spans="1:7" s="35" customFormat="1" ht="15" customHeight="1" x14ac:dyDescent="0.25">
      <c r="A26" s="292"/>
      <c r="B26" s="293"/>
      <c r="C26" s="293"/>
      <c r="D26" s="293"/>
      <c r="E26" s="293"/>
      <c r="F26" s="293"/>
      <c r="G26" s="294"/>
    </row>
    <row r="27" spans="1:7" s="35" customFormat="1" ht="15" customHeight="1" x14ac:dyDescent="0.25">
      <c r="A27" s="292"/>
      <c r="B27" s="293"/>
      <c r="C27" s="293"/>
      <c r="D27" s="293"/>
      <c r="E27" s="293"/>
      <c r="F27" s="293"/>
      <c r="G27" s="294"/>
    </row>
    <row r="28" spans="1:7" s="35" customFormat="1" ht="15" customHeight="1" x14ac:dyDescent="0.25">
      <c r="A28" s="295"/>
      <c r="B28" s="296"/>
      <c r="C28" s="296"/>
      <c r="D28" s="296"/>
      <c r="E28" s="296"/>
      <c r="F28" s="296"/>
      <c r="G28" s="297"/>
    </row>
    <row r="30" spans="1:7" ht="15.75" x14ac:dyDescent="0.25">
      <c r="A30" s="18" t="s">
        <v>13</v>
      </c>
    </row>
    <row r="31" spans="1:7" s="36" customFormat="1" ht="15" customHeight="1" x14ac:dyDescent="0.25">
      <c r="A31" s="289"/>
      <c r="B31" s="290"/>
      <c r="C31" s="290"/>
      <c r="D31" s="290"/>
      <c r="E31" s="290"/>
      <c r="F31" s="290"/>
      <c r="G31" s="291"/>
    </row>
    <row r="32" spans="1:7" s="36" customFormat="1" ht="15" customHeight="1" x14ac:dyDescent="0.25">
      <c r="A32" s="292"/>
      <c r="B32" s="293"/>
      <c r="C32" s="293"/>
      <c r="D32" s="293"/>
      <c r="E32" s="293"/>
      <c r="F32" s="293"/>
      <c r="G32" s="294"/>
    </row>
    <row r="33" spans="1:7" s="36" customFormat="1" ht="15" customHeight="1" x14ac:dyDescent="0.25">
      <c r="A33" s="292"/>
      <c r="B33" s="293"/>
      <c r="C33" s="293"/>
      <c r="D33" s="293"/>
      <c r="E33" s="293"/>
      <c r="F33" s="293"/>
      <c r="G33" s="294"/>
    </row>
    <row r="34" spans="1:7" s="36" customFormat="1" ht="15" customHeight="1" x14ac:dyDescent="0.25">
      <c r="A34" s="292"/>
      <c r="B34" s="293"/>
      <c r="C34" s="293"/>
      <c r="D34" s="293"/>
      <c r="E34" s="293"/>
      <c r="F34" s="293"/>
      <c r="G34" s="294"/>
    </row>
    <row r="35" spans="1:7" s="36" customFormat="1" ht="15" customHeight="1" x14ac:dyDescent="0.25">
      <c r="A35" s="292"/>
      <c r="B35" s="293"/>
      <c r="C35" s="293"/>
      <c r="D35" s="293"/>
      <c r="E35" s="293"/>
      <c r="F35" s="293"/>
      <c r="G35" s="294"/>
    </row>
    <row r="36" spans="1:7" s="36" customFormat="1" ht="15" customHeight="1" x14ac:dyDescent="0.25">
      <c r="A36" s="292"/>
      <c r="B36" s="293"/>
      <c r="C36" s="293"/>
      <c r="D36" s="293"/>
      <c r="E36" s="293"/>
      <c r="F36" s="293"/>
      <c r="G36" s="294"/>
    </row>
    <row r="37" spans="1:7" s="36" customFormat="1" ht="15" customHeight="1" x14ac:dyDescent="0.25">
      <c r="A37" s="292"/>
      <c r="B37" s="293"/>
      <c r="C37" s="293"/>
      <c r="D37" s="293"/>
      <c r="E37" s="293"/>
      <c r="F37" s="293"/>
      <c r="G37" s="294"/>
    </row>
    <row r="38" spans="1:7" s="36" customFormat="1" ht="15" customHeight="1" x14ac:dyDescent="0.25">
      <c r="A38" s="292"/>
      <c r="B38" s="293"/>
      <c r="C38" s="293"/>
      <c r="D38" s="293"/>
      <c r="E38" s="293"/>
      <c r="F38" s="293"/>
      <c r="G38" s="294"/>
    </row>
    <row r="39" spans="1:7" s="36" customFormat="1" ht="15" customHeight="1" x14ac:dyDescent="0.25">
      <c r="A39" s="292"/>
      <c r="B39" s="293"/>
      <c r="C39" s="293"/>
      <c r="D39" s="293"/>
      <c r="E39" s="293"/>
      <c r="F39" s="293"/>
      <c r="G39" s="294"/>
    </row>
    <row r="40" spans="1:7" s="36" customFormat="1" ht="15" customHeight="1" x14ac:dyDescent="0.25">
      <c r="A40" s="292"/>
      <c r="B40" s="293"/>
      <c r="C40" s="293"/>
      <c r="D40" s="293"/>
      <c r="E40" s="293"/>
      <c r="F40" s="293"/>
      <c r="G40" s="294"/>
    </row>
    <row r="41" spans="1:7" s="36" customFormat="1" ht="15" customHeight="1" x14ac:dyDescent="0.25">
      <c r="A41" s="292"/>
      <c r="B41" s="293"/>
      <c r="C41" s="293"/>
      <c r="D41" s="293"/>
      <c r="E41" s="293"/>
      <c r="F41" s="293"/>
      <c r="G41" s="294"/>
    </row>
    <row r="42" spans="1:7" s="36" customFormat="1" ht="15" customHeight="1" x14ac:dyDescent="0.25">
      <c r="A42" s="292"/>
      <c r="B42" s="293"/>
      <c r="C42" s="293"/>
      <c r="D42" s="293"/>
      <c r="E42" s="293"/>
      <c r="F42" s="293"/>
      <c r="G42" s="294"/>
    </row>
    <row r="43" spans="1:7" s="36" customFormat="1" ht="15" customHeight="1" x14ac:dyDescent="0.25">
      <c r="A43" s="295"/>
      <c r="B43" s="296"/>
      <c r="C43" s="296"/>
      <c r="D43" s="296"/>
      <c r="E43" s="296"/>
      <c r="F43" s="296"/>
      <c r="G43" s="297"/>
    </row>
    <row r="45" spans="1:7" x14ac:dyDescent="0.2">
      <c r="A45" s="2" t="s">
        <v>14</v>
      </c>
    </row>
    <row r="46" spans="1:7" x14ac:dyDescent="0.2">
      <c r="A46" s="2" t="s">
        <v>15</v>
      </c>
    </row>
    <row r="47" spans="1:7" x14ac:dyDescent="0.2">
      <c r="A47" s="2" t="s">
        <v>16</v>
      </c>
    </row>
    <row r="48" spans="1:7" x14ac:dyDescent="0.2">
      <c r="A48" s="2" t="s">
        <v>17</v>
      </c>
    </row>
  </sheetData>
  <mergeCells count="2">
    <mergeCell ref="A17:G28"/>
    <mergeCell ref="A31:G43"/>
  </mergeCells>
  <phoneticPr fontId="0" type="noConversion"/>
  <pageMargins left="0.47" right="7.0000000000000007E-2" top="0.75" bottom="0.75" header="0.3" footer="0.3"/>
  <pageSetup scale="63" orientation="portrait" r:id="rId1"/>
  <headerFooter alignWithMargins="0">
    <oddFooter>&amp;RNCCCS 2-16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135"/>
  <sheetViews>
    <sheetView view="pageBreakPreview" topLeftCell="H1" zoomScale="60" zoomScaleNormal="100" workbookViewId="0">
      <selection activeCell="T14" sqref="T14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10937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6640625" style="50" customWidth="1"/>
    <col min="19" max="19" width="6.21875" style="39" customWidth="1"/>
    <col min="20" max="20" width="31.5546875" style="39" customWidth="1"/>
    <col min="21" max="21" width="17.77734375" style="206" customWidth="1"/>
    <col min="22" max="27" width="18.88671875" style="39" customWidth="1"/>
    <col min="28" max="28" width="23.554687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62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9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62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62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77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07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08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9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114"/>
      <c r="T11" s="79"/>
      <c r="U11" s="90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#8'!V12,"OK","Send in Change Order")</f>
        <v>OK</v>
      </c>
      <c r="S12" s="85">
        <v>1</v>
      </c>
      <c r="T12" s="86" t="str">
        <f>'Request #8'!T12</f>
        <v>Land/Site Grading &amp; Improv.</v>
      </c>
      <c r="U12" s="218">
        <f>'Request #8'!U12</f>
        <v>0</v>
      </c>
      <c r="V12" s="87">
        <f>'Request #8'!V12</f>
        <v>0</v>
      </c>
      <c r="W12" s="88">
        <f>SUMIF(F7:F79,1,E7:E79)</f>
        <v>0</v>
      </c>
      <c r="X12" s="88">
        <f>'Request #8'!Y12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#8'!AA12,"OK","Alert,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#8'!V13,"OK","Send in Change Order")</f>
        <v>OK</v>
      </c>
      <c r="S13" s="85">
        <v>2</v>
      </c>
      <c r="T13" s="86" t="str">
        <f>'Request #8'!T13</f>
        <v xml:space="preserve">General Contract </v>
      </c>
      <c r="U13" s="218">
        <f>'Request #8'!U13</f>
        <v>0</v>
      </c>
      <c r="V13" s="87">
        <f>'Request #8'!V13</f>
        <v>0</v>
      </c>
      <c r="W13" s="88">
        <f>SUMIF(F7:F79,2,E7:E79)</f>
        <v>0</v>
      </c>
      <c r="X13" s="88">
        <f>'Request #8'!Y13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#8'!AA13,"OK","Alert,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#8'!V14,"OK","Send in Change Order")</f>
        <v>OK</v>
      </c>
      <c r="S14" s="85">
        <v>3</v>
      </c>
      <c r="T14" s="86" t="str">
        <f>'Request #8'!T14</f>
        <v>Designer Contract</v>
      </c>
      <c r="U14" s="218">
        <f>'Request #8'!U14</f>
        <v>0</v>
      </c>
      <c r="V14" s="87">
        <f>'Request #8'!V14</f>
        <v>0</v>
      </c>
      <c r="W14" s="88">
        <f>SUMIF(F7:F79,3,E7:E79)</f>
        <v>0</v>
      </c>
      <c r="X14" s="88">
        <f>'Request #8'!Y14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#8'!AA14,"OK","Alert,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#8'!V15,"OK","Send in Change Order")</f>
        <v>OK</v>
      </c>
      <c r="S15" s="85">
        <v>4</v>
      </c>
      <c r="T15" s="86" t="str">
        <f>'Request #8'!T15</f>
        <v>Designer Reimbursables</v>
      </c>
      <c r="U15" s="218">
        <f>'Request #8'!U15</f>
        <v>0</v>
      </c>
      <c r="V15" s="87">
        <f>'Request #8'!V15</f>
        <v>0</v>
      </c>
      <c r="W15" s="88">
        <f>SUMIF(F7:F79,4,E7:E79)</f>
        <v>0</v>
      </c>
      <c r="X15" s="88">
        <f>'Request #8'!Y15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#8'!AA15,"OK","Alert,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#8'!V16,"OK","Send in Change Order")</f>
        <v>OK</v>
      </c>
      <c r="S16" s="85">
        <v>5</v>
      </c>
      <c r="T16" s="86" t="str">
        <f>'Request #8'!T16</f>
        <v>Other Contracts</v>
      </c>
      <c r="U16" s="218">
        <f>'Request #8'!U16</f>
        <v>0</v>
      </c>
      <c r="V16" s="87">
        <f>'Request #8'!V16</f>
        <v>0</v>
      </c>
      <c r="W16" s="88">
        <f>SUMIF(F7:F79,5,E7:E79)</f>
        <v>0</v>
      </c>
      <c r="X16" s="88">
        <f>'Request #8'!Y16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#8'!AA16,"OK","Alert,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#8'!V17,"OK","Send in Change Order")</f>
        <v>OK</v>
      </c>
      <c r="S17" s="85">
        <v>6</v>
      </c>
      <c r="T17" s="86" t="str">
        <f>'Request #8'!T17</f>
        <v>Other Contracts</v>
      </c>
      <c r="U17" s="218">
        <f>'Request #8'!U17</f>
        <v>0</v>
      </c>
      <c r="V17" s="87">
        <f>'Request #8'!V17</f>
        <v>0</v>
      </c>
      <c r="W17" s="88">
        <f>SUMIF(F7:F79,6,E7:E79)</f>
        <v>0</v>
      </c>
      <c r="X17" s="88">
        <f>'Request #8'!Y17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#8'!AA17,"OK","Alert,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#8'!V18,"OK","Send in Change Order")</f>
        <v>OK</v>
      </c>
      <c r="S18" s="85">
        <v>7</v>
      </c>
      <c r="T18" s="86" t="str">
        <f>'Request #8'!T18</f>
        <v>Other Contracts</v>
      </c>
      <c r="U18" s="218">
        <f>'Request #8'!U18</f>
        <v>0</v>
      </c>
      <c r="V18" s="87">
        <f>'Request #8'!V18</f>
        <v>0</v>
      </c>
      <c r="W18" s="88">
        <f>SUMIF(F7:F79,7,E7:E79)</f>
        <v>0</v>
      </c>
      <c r="X18" s="88">
        <f>'Request #8'!Y18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#8'!AA18,"OK","Alert,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#8'!V19,"OK","Send in Change Order")</f>
        <v>OK</v>
      </c>
      <c r="S19" s="85">
        <v>8</v>
      </c>
      <c r="T19" s="86" t="str">
        <f>'Request #8'!T19</f>
        <v>Other Contracts</v>
      </c>
      <c r="U19" s="218">
        <f>'Request #8'!U19</f>
        <v>0</v>
      </c>
      <c r="V19" s="87">
        <f>'Request #8'!V19</f>
        <v>0</v>
      </c>
      <c r="W19" s="88">
        <f>SUMIF(F7:F79,8,E7:E79)</f>
        <v>0</v>
      </c>
      <c r="X19" s="88">
        <f>'Request #8'!Y19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#8'!AA19,"OK","Alert,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#8'!V20,"OK","Send in Change Order")</f>
        <v>OK</v>
      </c>
      <c r="S20" s="85">
        <v>9</v>
      </c>
      <c r="T20" s="86" t="str">
        <f>'Request #8'!T20</f>
        <v>Other Contracts</v>
      </c>
      <c r="U20" s="218">
        <f>'Request #8'!U20</f>
        <v>0</v>
      </c>
      <c r="V20" s="87">
        <f>'Request #8'!V20</f>
        <v>0</v>
      </c>
      <c r="W20" s="88">
        <f>SUMIF(F7:F79,9,E7:E79)</f>
        <v>0</v>
      </c>
      <c r="X20" s="88">
        <f>'Request #8'!Y20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#8'!AA20,"OK","Alert,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#8'!V21,"OK","Send in Change Order")</f>
        <v>OK</v>
      </c>
      <c r="S21" s="85">
        <v>10</v>
      </c>
      <c r="T21" s="86" t="str">
        <f>'Request #8'!T21</f>
        <v>Other Contracts</v>
      </c>
      <c r="U21" s="218">
        <f>'Request #8'!U21</f>
        <v>0</v>
      </c>
      <c r="V21" s="87">
        <f>'Request #8'!V21</f>
        <v>0</v>
      </c>
      <c r="W21" s="88">
        <f>SUMIF(F7:F79,10,E7:E79)</f>
        <v>0</v>
      </c>
      <c r="X21" s="88">
        <f>'Request #8'!Y21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#8'!AA21,"OK","Alert,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#8'!V22,"OK","Send in Change Order")</f>
        <v>OK</v>
      </c>
      <c r="S22" s="85">
        <v>11</v>
      </c>
      <c r="T22" s="86" t="str">
        <f>'Request #8'!T22</f>
        <v>Other Contracts</v>
      </c>
      <c r="U22" s="218">
        <f>'Request #8'!U22</f>
        <v>0</v>
      </c>
      <c r="V22" s="87">
        <f>'Request #8'!V22</f>
        <v>0</v>
      </c>
      <c r="W22" s="88">
        <f>SUMIF(F7:F79,11,E7:E79)</f>
        <v>0</v>
      </c>
      <c r="X22" s="88">
        <f>'Request #8'!Y22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#8'!AA22,"OK","Alert,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#8'!V23,"OK","Send in Change Order")</f>
        <v>OK</v>
      </c>
      <c r="S23" s="85">
        <v>12</v>
      </c>
      <c r="T23" s="86" t="str">
        <f>'Request #8'!T23</f>
        <v>Other Contracts</v>
      </c>
      <c r="U23" s="218">
        <f>'Request #8'!U23</f>
        <v>0</v>
      </c>
      <c r="V23" s="87">
        <f>'Request #8'!V23</f>
        <v>0</v>
      </c>
      <c r="W23" s="88">
        <f>SUMIF(F7:F79,12,E7:E79)</f>
        <v>0</v>
      </c>
      <c r="X23" s="88">
        <f>'Request #8'!Y23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#8'!AA23,"OK","Alert,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#8'!V24,"OK","Send in Change Order")</f>
        <v>OK</v>
      </c>
      <c r="S24" s="85">
        <v>13</v>
      </c>
      <c r="T24" s="86" t="str">
        <f>'Request #8'!T24</f>
        <v>Other Contracts</v>
      </c>
      <c r="U24" s="218">
        <f>'Request #8'!U24</f>
        <v>0</v>
      </c>
      <c r="V24" s="87">
        <f>'Request #8'!V24</f>
        <v>0</v>
      </c>
      <c r="W24" s="88">
        <f>SUMIF(F7:F79,13,E7:E79)</f>
        <v>0</v>
      </c>
      <c r="X24" s="88">
        <f>'Request #8'!Y24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#8'!AA24,"OK","Alert,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#8'!V25,"OK","Send in Change Order")</f>
        <v>OK</v>
      </c>
      <c r="S25" s="85">
        <v>14</v>
      </c>
      <c r="T25" s="86" t="str">
        <f>'Request #8'!T25</f>
        <v>Other Contracts</v>
      </c>
      <c r="U25" s="218">
        <f>'Request #8'!U25</f>
        <v>0</v>
      </c>
      <c r="V25" s="87">
        <f>'Request #8'!V25</f>
        <v>0</v>
      </c>
      <c r="W25" s="88">
        <f>SUMIF(F7:F79,14,E7:E79)</f>
        <v>0</v>
      </c>
      <c r="X25" s="88">
        <f>'Request #8'!Y25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#8'!AA25,"OK","Alert,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#8'!V26,"OK","Send in Change Order")</f>
        <v>OK</v>
      </c>
      <c r="S26" s="85">
        <v>15</v>
      </c>
      <c r="T26" s="86" t="str">
        <f>'Request #8'!T26</f>
        <v>Other Contracts</v>
      </c>
      <c r="U26" s="218">
        <f>'Request #8'!U26</f>
        <v>0</v>
      </c>
      <c r="V26" s="87">
        <f>'Request #8'!V26</f>
        <v>0</v>
      </c>
      <c r="W26" s="88">
        <f>SUMIF(F7:F79,15,E7:E79)</f>
        <v>0</v>
      </c>
      <c r="X26" s="88">
        <f>'Request #8'!Y26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#8'!AA26,"OK","Alert,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#8'!V27,"OK","Send in Change Order")</f>
        <v>OK</v>
      </c>
      <c r="S27" s="85">
        <v>16</v>
      </c>
      <c r="T27" s="86" t="str">
        <f>'Request #8'!T27</f>
        <v>Other Contracts</v>
      </c>
      <c r="U27" s="218">
        <f>'Request #8'!U27</f>
        <v>0</v>
      </c>
      <c r="V27" s="87">
        <f>'Request #8'!V27</f>
        <v>0</v>
      </c>
      <c r="W27" s="88">
        <f>SUMIF(F7:F79,16,E7:E79)</f>
        <v>0</v>
      </c>
      <c r="X27" s="88">
        <f>'Request #8'!Y27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#8'!AA27,"OK","Alert,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#8'!V28,"OK","Send in Change Order")</f>
        <v>OK</v>
      </c>
      <c r="S28" s="85">
        <v>17</v>
      </c>
      <c r="T28" s="86" t="str">
        <f>'Request #8'!T28</f>
        <v>Other Contracts</v>
      </c>
      <c r="U28" s="218">
        <f>'Request #8'!U28</f>
        <v>0</v>
      </c>
      <c r="V28" s="87">
        <f>'Request #8'!V28</f>
        <v>0</v>
      </c>
      <c r="W28" s="88">
        <f>SUMIF(F7:F79,17,E7:E79)</f>
        <v>0</v>
      </c>
      <c r="X28" s="88">
        <f>'Request #8'!Y28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#8'!AA28,"OK","Alert,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#8'!V29,"OK","Send in Change Order")</f>
        <v>OK</v>
      </c>
      <c r="S29" s="85">
        <v>18</v>
      </c>
      <c r="T29" s="86" t="str">
        <f>'Request #8'!T29</f>
        <v>Other Contracts</v>
      </c>
      <c r="U29" s="218">
        <f>'Request #8'!U29</f>
        <v>0</v>
      </c>
      <c r="V29" s="87">
        <f>'Request #8'!V29</f>
        <v>0</v>
      </c>
      <c r="W29" s="88">
        <f>SUMIF(F7:F79,18,E7:E79)</f>
        <v>0</v>
      </c>
      <c r="X29" s="88">
        <f>'Request #8'!Y29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#8'!AA29,"OK","Alert,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#8'!V30,"OK","Send in Change Order")</f>
        <v>OK</v>
      </c>
      <c r="S30" s="85">
        <v>19</v>
      </c>
      <c r="T30" s="86" t="str">
        <f>'Request #8'!T30</f>
        <v>Other Contracts</v>
      </c>
      <c r="U30" s="218">
        <f>'Request #8'!U30</f>
        <v>0</v>
      </c>
      <c r="V30" s="87">
        <f>'Request #8'!V30</f>
        <v>0</v>
      </c>
      <c r="W30" s="88">
        <f>SUMIF(F7:F79,19,E7:E79)</f>
        <v>0</v>
      </c>
      <c r="X30" s="88">
        <f>'Request #8'!Y30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#8'!AA30,"OK","Alert,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#8'!V31,"OK","Send in Change Order")</f>
        <v>OK</v>
      </c>
      <c r="S31" s="85">
        <v>20</v>
      </c>
      <c r="T31" s="86" t="str">
        <f>'Request #8'!T31</f>
        <v>Other Contracts</v>
      </c>
      <c r="U31" s="218">
        <f>'Request #8'!U31</f>
        <v>0</v>
      </c>
      <c r="V31" s="87">
        <f>'Request #8'!V31</f>
        <v>0</v>
      </c>
      <c r="W31" s="88">
        <f>SUMIF(F7:F79,20,E7:E79)</f>
        <v>0</v>
      </c>
      <c r="X31" s="88">
        <f>'Request #8'!Y31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#8'!AA31,"OK","Alert,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#8'!V32,"OK","Send in Change Order")</f>
        <v>OK</v>
      </c>
      <c r="S32" s="85">
        <v>21</v>
      </c>
      <c r="T32" s="86" t="str">
        <f>'Request #8'!T32</f>
        <v>Other Contracts</v>
      </c>
      <c r="U32" s="218">
        <f>'Request #8'!U32</f>
        <v>0</v>
      </c>
      <c r="V32" s="87">
        <f>'Request #8'!V32</f>
        <v>0</v>
      </c>
      <c r="W32" s="88">
        <f>SUMIF(F7:F79,21,E7:E79)</f>
        <v>0</v>
      </c>
      <c r="X32" s="88">
        <f>'Request #8'!Y32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#8'!AA32,"OK","Alert,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#8'!V33,"OK","Send in Change Order")</f>
        <v>OK</v>
      </c>
      <c r="S33" s="85">
        <v>22</v>
      </c>
      <c r="T33" s="86" t="str">
        <f>'Request #8'!T33</f>
        <v>Other Contracts</v>
      </c>
      <c r="U33" s="218">
        <f>'Request #8'!U33</f>
        <v>0</v>
      </c>
      <c r="V33" s="87">
        <f>'Request #8'!V33</f>
        <v>0</v>
      </c>
      <c r="W33" s="88">
        <f>SUMIF(F7:F79,22,E7:E79)</f>
        <v>0</v>
      </c>
      <c r="X33" s="88">
        <f>'Request #8'!Y33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#8'!AA33,"OK","Alert,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#8'!V34,"OK","Send in Change Order")</f>
        <v>OK</v>
      </c>
      <c r="S34" s="85">
        <v>23</v>
      </c>
      <c r="T34" s="86" t="str">
        <f>'Request #8'!T34</f>
        <v>Other Contracts</v>
      </c>
      <c r="U34" s="218">
        <f>'Request #8'!U34</f>
        <v>0</v>
      </c>
      <c r="V34" s="87">
        <f>'Request #8'!V34</f>
        <v>0</v>
      </c>
      <c r="W34" s="88">
        <f>SUMIF(F7:F79,23,E7:E79)</f>
        <v>0</v>
      </c>
      <c r="X34" s="88">
        <f>'Request #8'!Y34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#8'!AA34,"OK","Alert,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#8'!V35,"OK","Send in Change Order")</f>
        <v>OK</v>
      </c>
      <c r="S35" s="85">
        <v>24</v>
      </c>
      <c r="T35" s="86" t="str">
        <f>'Request #8'!T35</f>
        <v>Other Contracts</v>
      </c>
      <c r="U35" s="218">
        <f>'Request #8'!U35</f>
        <v>0</v>
      </c>
      <c r="V35" s="87">
        <f>'Request #8'!V35</f>
        <v>0</v>
      </c>
      <c r="W35" s="88">
        <f>SUMIF(F7:F79,24,E7:E79)</f>
        <v>0</v>
      </c>
      <c r="X35" s="88">
        <f>'Request #8'!Y35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#8'!AA35,"OK","Alert,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#8'!V36,"OK","Send in Change Order")</f>
        <v>OK</v>
      </c>
      <c r="S36" s="85">
        <v>25</v>
      </c>
      <c r="T36" s="86" t="str">
        <f>'Request #8'!T36</f>
        <v>Other Contracts</v>
      </c>
      <c r="U36" s="218">
        <f>'Request #8'!U36</f>
        <v>0</v>
      </c>
      <c r="V36" s="87">
        <f>'Request #8'!V36</f>
        <v>0</v>
      </c>
      <c r="W36" s="88">
        <f>SUMIF(F7:F79,25,E7:E79)</f>
        <v>0</v>
      </c>
      <c r="X36" s="88">
        <f>'Request #8'!Y36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#8'!AA36,"OK","Alert,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#8'!V37,"OK","Send in Change Order")</f>
        <v>OK</v>
      </c>
      <c r="S37" s="85">
        <v>26</v>
      </c>
      <c r="T37" s="86" t="str">
        <f>'Request #8'!T37</f>
        <v>Other Fees</v>
      </c>
      <c r="U37" s="218">
        <f>'Request #8'!U37</f>
        <v>0</v>
      </c>
      <c r="V37" s="87">
        <f>'Request #8'!V37</f>
        <v>0</v>
      </c>
      <c r="W37" s="88">
        <f>SUMIF(F7:F79,26,E7:E79)</f>
        <v>0</v>
      </c>
      <c r="X37" s="88">
        <f>'Request #8'!Y37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#8'!AA37,"OK","Alert,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#8'!V38,"OK","Send in Change Order")</f>
        <v>OK</v>
      </c>
      <c r="S38" s="85">
        <v>27</v>
      </c>
      <c r="T38" s="86" t="str">
        <f>'Request #8'!T38</f>
        <v>Other Fees</v>
      </c>
      <c r="U38" s="218">
        <f>'Request #8'!U38</f>
        <v>0</v>
      </c>
      <c r="V38" s="87">
        <f>'Request #8'!V38</f>
        <v>0</v>
      </c>
      <c r="W38" s="88">
        <f>SUMIF(F7:F79,27,E7:E79)</f>
        <v>0</v>
      </c>
      <c r="X38" s="88">
        <f>'Request #8'!Y38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#8'!AA38,"OK","Alert,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#8'!V39,"OK","Send in Change Order")</f>
        <v>OK</v>
      </c>
      <c r="S39" s="85">
        <v>28</v>
      </c>
      <c r="T39" s="86" t="str">
        <f>'Request #8'!T39</f>
        <v>Other Fees</v>
      </c>
      <c r="U39" s="218">
        <f>'Request #8'!U39</f>
        <v>0</v>
      </c>
      <c r="V39" s="87">
        <f>'Request #8'!V39</f>
        <v>0</v>
      </c>
      <c r="W39" s="88">
        <f>SUMIF(F7:F79,28,E7:E79)</f>
        <v>0</v>
      </c>
      <c r="X39" s="88">
        <f>'Request #8'!Y39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#8'!AA39,"OK","Alert,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#8'!V40,"OK","Send in Change Order")</f>
        <v>OK</v>
      </c>
      <c r="S40" s="85">
        <v>29</v>
      </c>
      <c r="T40" s="86" t="str">
        <f>'Request #8'!T40</f>
        <v>Other Fees</v>
      </c>
      <c r="U40" s="218">
        <f>'Request #8'!U40</f>
        <v>0</v>
      </c>
      <c r="V40" s="87">
        <f>'Request #8'!V40</f>
        <v>0</v>
      </c>
      <c r="W40" s="88">
        <f>SUMIF(F7:F79,29,E7:E79)</f>
        <v>0</v>
      </c>
      <c r="X40" s="88">
        <f>'Request #8'!Y40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#8'!AA40,"OK","Alert,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#8'!V41,"OK","Send in Change Order")</f>
        <v>OK</v>
      </c>
      <c r="S41" s="85">
        <v>30</v>
      </c>
      <c r="T41" s="86" t="str">
        <f>'Request #8'!T41</f>
        <v>Other Fees</v>
      </c>
      <c r="U41" s="218">
        <f>'Request #8'!U41</f>
        <v>0</v>
      </c>
      <c r="V41" s="87">
        <f>'Request #8'!V41</f>
        <v>0</v>
      </c>
      <c r="W41" s="88">
        <f>SUMIF(F7:F79,30,E7:E79)</f>
        <v>0</v>
      </c>
      <c r="X41" s="88">
        <f>'Request #8'!Y41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#8'!AA41,"OK","Alert,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#8'!V42,"OK","Send in Change Order")</f>
        <v>OK</v>
      </c>
      <c r="S42" s="85">
        <v>31</v>
      </c>
      <c r="T42" s="86" t="str">
        <f>'Request #8'!T42</f>
        <v>Other Fees</v>
      </c>
      <c r="U42" s="218">
        <f>'Request #8'!U42</f>
        <v>0</v>
      </c>
      <c r="V42" s="87">
        <f>'Request #8'!V42</f>
        <v>0</v>
      </c>
      <c r="W42" s="88">
        <f>SUMIF(F7:F79,31,E7:E79)</f>
        <v>0</v>
      </c>
      <c r="X42" s="88">
        <f>'Request #8'!Y42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#8'!AA42,"OK","Alert,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#8'!V43,"OK","Send in Change Order")</f>
        <v>OK</v>
      </c>
      <c r="S43" s="85">
        <v>32</v>
      </c>
      <c r="T43" s="86" t="str">
        <f>'Request #8'!T43</f>
        <v>Other Fees</v>
      </c>
      <c r="U43" s="218">
        <f>'Request #8'!U43</f>
        <v>0</v>
      </c>
      <c r="V43" s="87">
        <f>'Request #8'!V43</f>
        <v>0</v>
      </c>
      <c r="W43" s="88">
        <f>SUMIF(F7:F79,32,E7:E79)</f>
        <v>0</v>
      </c>
      <c r="X43" s="88">
        <f>'Request #8'!Y43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#8'!AA43,"OK","Alert,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#8'!V44,"OK","Send in Change Order")</f>
        <v>OK</v>
      </c>
      <c r="S44" s="85">
        <v>33</v>
      </c>
      <c r="T44" s="86" t="str">
        <f>'Request #8'!T44</f>
        <v>Other Fees</v>
      </c>
      <c r="U44" s="218">
        <f>'Request #8'!U44</f>
        <v>0</v>
      </c>
      <c r="V44" s="87">
        <f>'Request #8'!V44</f>
        <v>0</v>
      </c>
      <c r="W44" s="88">
        <f>SUMIF(F7:F79,33,E7:E79)</f>
        <v>0</v>
      </c>
      <c r="X44" s="88">
        <f>'Request #8'!Y44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#8'!AA44,"OK","Alert,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#8'!V49,"OK","Send in Change Order")</f>
        <v>OK</v>
      </c>
      <c r="S49" s="85">
        <v>38</v>
      </c>
      <c r="T49" s="86" t="str">
        <f>'Request #8'!T49</f>
        <v>Other Fees</v>
      </c>
      <c r="U49" s="218">
        <f>'Request #8'!U49</f>
        <v>0</v>
      </c>
      <c r="V49" s="87">
        <f>'Request #8'!V49</f>
        <v>0</v>
      </c>
      <c r="W49" s="88">
        <f>SUMIF(F7:F79,38,E7:E79)</f>
        <v>0</v>
      </c>
      <c r="X49" s="88">
        <f>'Request #8'!Y49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#8'!AA49,"OK","Alert,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#8'!V50,"OK","Send in Change Order")</f>
        <v>OK</v>
      </c>
      <c r="S50" s="85">
        <v>39</v>
      </c>
      <c r="T50" s="86" t="str">
        <f>'Request #8'!T50</f>
        <v>Other Fees</v>
      </c>
      <c r="U50" s="218">
        <f>'Request #8'!U50</f>
        <v>0</v>
      </c>
      <c r="V50" s="87">
        <f>'Request #8'!V50</f>
        <v>0</v>
      </c>
      <c r="W50" s="88">
        <f>SUMIF(F7:F79,39,E7:E79)</f>
        <v>0</v>
      </c>
      <c r="X50" s="88">
        <f>'Request #8'!Y50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#8'!AA50,"OK","Alert,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#8'!V51,"OK","Send in Change Order")</f>
        <v>OK</v>
      </c>
      <c r="S51" s="85">
        <v>40</v>
      </c>
      <c r="T51" s="86" t="str">
        <f>'Request #8'!T51</f>
        <v>Other Fees</v>
      </c>
      <c r="U51" s="218">
        <f>'Request #8'!U51</f>
        <v>0</v>
      </c>
      <c r="V51" s="87">
        <f>'Request #8'!V51</f>
        <v>0</v>
      </c>
      <c r="W51" s="88">
        <f>SUMIF(F7:F79,40,E7:E79)</f>
        <v>0</v>
      </c>
      <c r="X51" s="88">
        <f>'Request #8'!Y51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#8'!AA51,"OK","Alert,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#8'!V52,"OK","Send in Change Order")</f>
        <v>OK</v>
      </c>
      <c r="S52" s="85">
        <v>41</v>
      </c>
      <c r="T52" s="86" t="str">
        <f>'Request #8'!T52</f>
        <v>Other Fees</v>
      </c>
      <c r="U52" s="218">
        <f>'Request #8'!U52</f>
        <v>0</v>
      </c>
      <c r="V52" s="87">
        <f>'Request #8'!V52</f>
        <v>0</v>
      </c>
      <c r="W52" s="88">
        <f>SUMIF(F7:F79,41,E7:E79)</f>
        <v>0</v>
      </c>
      <c r="X52" s="88">
        <f>'Request #8'!Y52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#8'!AA52,"OK","Alert,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#8'!V53,"OK","Send in Change Order")</f>
        <v>OK</v>
      </c>
      <c r="S53" s="85">
        <v>42</v>
      </c>
      <c r="T53" s="86" t="str">
        <f>'Request #8'!T53</f>
        <v>Other Fees</v>
      </c>
      <c r="U53" s="218">
        <f>'Request #8'!U53</f>
        <v>0</v>
      </c>
      <c r="V53" s="87">
        <f>'Request #8'!V53</f>
        <v>0</v>
      </c>
      <c r="W53" s="88">
        <f>SUMIF(F7:F79,42,E7:E79)</f>
        <v>0</v>
      </c>
      <c r="X53" s="88">
        <f>'Request #8'!Y53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#8'!AA53,"OK","Alert,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#8'!V54,"OK","Send in Change Order")</f>
        <v>OK</v>
      </c>
      <c r="S54" s="85">
        <v>43</v>
      </c>
      <c r="T54" s="86" t="str">
        <f>'Request #8'!T54</f>
        <v>Other Fees</v>
      </c>
      <c r="U54" s="218">
        <f>'Request #8'!U54</f>
        <v>0</v>
      </c>
      <c r="V54" s="87">
        <f>'Request #8'!V54</f>
        <v>0</v>
      </c>
      <c r="W54" s="88">
        <f>SUMIF(F7:F79,43,E7:E79)</f>
        <v>0</v>
      </c>
      <c r="X54" s="88">
        <f>'Request #8'!Y54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#8'!AA54,"OK","Alert,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#8'!V55,"OK","Send in Change Order")</f>
        <v>OK</v>
      </c>
      <c r="S55" s="85">
        <v>44</v>
      </c>
      <c r="T55" s="86" t="str">
        <f>'Request #8'!T55</f>
        <v>Other Fees</v>
      </c>
      <c r="U55" s="218">
        <f>'Request #8'!U55</f>
        <v>0</v>
      </c>
      <c r="V55" s="87">
        <f>'Request #8'!V55</f>
        <v>0</v>
      </c>
      <c r="W55" s="88">
        <f>SUMIF(F7:F79,44,E7:E79)</f>
        <v>0</v>
      </c>
      <c r="X55" s="88">
        <f>'Request #8'!Y55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#8'!AA55,"OK","Alert,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#8'!V56,"OK","Send in Change Order")</f>
        <v>OK</v>
      </c>
      <c r="S56" s="85">
        <v>45</v>
      </c>
      <c r="T56" s="86" t="str">
        <f>'Request #8'!T56</f>
        <v>Other Fees</v>
      </c>
      <c r="U56" s="218">
        <f>'Request #8'!U56</f>
        <v>0</v>
      </c>
      <c r="V56" s="87">
        <f>'Request #8'!V56</f>
        <v>0</v>
      </c>
      <c r="W56" s="88">
        <f>SUMIF(F7:F79,45,E7:E79)</f>
        <v>0</v>
      </c>
      <c r="X56" s="88">
        <f>'Request #8'!Y56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#8'!AA56,"OK","Alert,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#8'!V57,"OK","Send in Change Order")</f>
        <v>OK</v>
      </c>
      <c r="S57" s="85">
        <v>46</v>
      </c>
      <c r="T57" s="86" t="str">
        <f>'Request #8'!T57</f>
        <v>Other Fees</v>
      </c>
      <c r="U57" s="218">
        <f>'Request #8'!U57</f>
        <v>0</v>
      </c>
      <c r="V57" s="87">
        <f>'Request #8'!V57</f>
        <v>0</v>
      </c>
      <c r="W57" s="88">
        <f>SUMIF(F7:F79,46,E7:E79)</f>
        <v>0</v>
      </c>
      <c r="X57" s="88">
        <f>'Request #8'!Y57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#8'!AA57,"OK","Alert,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#8'!V58,"OK","Send in Change Order")</f>
        <v>OK</v>
      </c>
      <c r="S58" s="85">
        <v>47</v>
      </c>
      <c r="T58" s="86" t="str">
        <f>'Request #8'!T58</f>
        <v>Other Fees</v>
      </c>
      <c r="U58" s="218">
        <f>'Request #8'!U58</f>
        <v>0</v>
      </c>
      <c r="V58" s="87">
        <f>'Request #8'!V58</f>
        <v>0</v>
      </c>
      <c r="W58" s="88">
        <f>SUMIF(F7:F79,47,E7:E79)</f>
        <v>0</v>
      </c>
      <c r="X58" s="88">
        <f>'Request #8'!Y58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#8'!AA58,"OK","Alert,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#8'!V59,"OK","Send in Change Order")</f>
        <v>OK</v>
      </c>
      <c r="S59" s="85">
        <v>48</v>
      </c>
      <c r="T59" s="86" t="str">
        <f>'Request #8'!T59</f>
        <v>Other Fees</v>
      </c>
      <c r="U59" s="218">
        <f>'Request #8'!U59</f>
        <v>0</v>
      </c>
      <c r="V59" s="87">
        <f>'Request #8'!V59</f>
        <v>0</v>
      </c>
      <c r="W59" s="88">
        <f>SUMIF(F7:F79,48,E7:E79)</f>
        <v>0</v>
      </c>
      <c r="X59" s="88">
        <f>'Request #8'!Y59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#8'!AA59,"OK","Alert,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#8'!V60,"OK","Send in Change Order")</f>
        <v>OK</v>
      </c>
      <c r="S60" s="85">
        <v>49</v>
      </c>
      <c r="T60" s="86" t="str">
        <f>'Request #8'!T60</f>
        <v>Other Fees</v>
      </c>
      <c r="U60" s="218">
        <f>'Request #8'!U60</f>
        <v>0</v>
      </c>
      <c r="V60" s="87">
        <f>'Request #8'!V60</f>
        <v>0</v>
      </c>
      <c r="W60" s="88">
        <f>SUMIF(F7:F79,49,E7:E79)</f>
        <v>0</v>
      </c>
      <c r="X60" s="88">
        <f>'Request #8'!Y60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#8'!AA60,"OK","Alert,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#8'!V61,"OK","Send in Change Order")</f>
        <v>OK</v>
      </c>
      <c r="S61" s="85">
        <v>50</v>
      </c>
      <c r="T61" s="86" t="str">
        <f>'Request #8'!T61</f>
        <v>Other Fees</v>
      </c>
      <c r="U61" s="218">
        <f>'Request #8'!U61</f>
        <v>0</v>
      </c>
      <c r="V61" s="87">
        <f>'Request #8'!V61</f>
        <v>0</v>
      </c>
      <c r="W61" s="88">
        <f>SUMIF(F7:F79,50,E7:E79)</f>
        <v>0</v>
      </c>
      <c r="X61" s="88">
        <f>'Request #8'!Y61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#8'!AA61,"OK","Alert,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#8'!V62,"OK","Send in Change Order")</f>
        <v>OK</v>
      </c>
      <c r="S62" s="85">
        <v>51</v>
      </c>
      <c r="T62" s="86" t="str">
        <f>'Request #8'!T62</f>
        <v>Other Fees</v>
      </c>
      <c r="U62" s="218">
        <f>'Request #8'!U62</f>
        <v>0</v>
      </c>
      <c r="V62" s="87">
        <f>'Request #8'!V62</f>
        <v>0</v>
      </c>
      <c r="W62" s="88">
        <f>SUMIF(F7:F79,51,E7:E79)</f>
        <v>0</v>
      </c>
      <c r="X62" s="88">
        <f>'Request #8'!Y62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#8'!AA62,"OK","Alert,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#8'!V63,"OK","Send in Change Order")</f>
        <v>OK</v>
      </c>
      <c r="S63" s="85">
        <v>52</v>
      </c>
      <c r="T63" s="86" t="str">
        <f>'Request #8'!T63</f>
        <v>Worked Performed by Owner</v>
      </c>
      <c r="U63" s="218">
        <f>'Request #8'!U63</f>
        <v>0</v>
      </c>
      <c r="V63" s="87">
        <f>'Request #8'!V63</f>
        <v>0</v>
      </c>
      <c r="W63" s="88">
        <f>SUMIF(F7:F79,52,E7:E79)</f>
        <v>0</v>
      </c>
      <c r="X63" s="88">
        <f>'Request #8'!Y63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#8'!AA63,"OK","Alert,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#8'!V64,"OK","Send in Change Order")</f>
        <v>OK</v>
      </c>
      <c r="S64" s="85">
        <v>53</v>
      </c>
      <c r="T64" s="86" t="str">
        <f>'Request #8'!T64</f>
        <v>Equipment (Major)</v>
      </c>
      <c r="U64" s="218">
        <f>'Request #8'!U64</f>
        <v>0</v>
      </c>
      <c r="V64" s="87">
        <f>'Request #8'!V64</f>
        <v>0</v>
      </c>
      <c r="W64" s="88">
        <f>SUMIF(F7:F79,53,E7:E79)</f>
        <v>0</v>
      </c>
      <c r="X64" s="88">
        <f>'Request #8'!Y64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#8'!AA64,"OK","Alert,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#8'!V65,"OK","Send in Change Order")</f>
        <v>OK</v>
      </c>
      <c r="S65" s="85">
        <v>54</v>
      </c>
      <c r="T65" s="102" t="s">
        <v>90</v>
      </c>
      <c r="U65" s="218">
        <f>'Request #8'!U65</f>
        <v>0</v>
      </c>
      <c r="V65" s="87">
        <f>'Request #8'!V65</f>
        <v>0</v>
      </c>
      <c r="W65" s="104"/>
      <c r="X65" s="88">
        <f>'Request #8'!Y65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#8'!AA65,"OK","Alert,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#8'!V66,"OK","Send in Change Order")</f>
        <v>OK</v>
      </c>
      <c r="S66" s="85">
        <v>55</v>
      </c>
      <c r="T66" s="86"/>
      <c r="U66" s="218">
        <f>'Request #8'!U66</f>
        <v>0</v>
      </c>
      <c r="V66" s="87">
        <f>'Request #8'!V66</f>
        <v>0</v>
      </c>
      <c r="W66" s="88">
        <f>SUMIF(F7:F79,55,E7:E79)</f>
        <v>0</v>
      </c>
      <c r="X66" s="88">
        <f>'Request #8'!Y66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#8'!AA66,"OK","Alert,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#8'!V67,"OK","Send in Change Order")</f>
        <v>OK</v>
      </c>
      <c r="S67" s="85">
        <v>56</v>
      </c>
      <c r="T67" s="79"/>
      <c r="U67" s="218">
        <f>'Request #8'!U67</f>
        <v>0</v>
      </c>
      <c r="V67" s="87">
        <f>'Request #8'!V67</f>
        <v>0</v>
      </c>
      <c r="W67" s="88">
        <f>SUMIF(F7:F79,56,E7:E79)</f>
        <v>0</v>
      </c>
      <c r="X67" s="88">
        <f>'Request #8'!Y67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#8'!AA67,"OK","Alert,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#8'!V68,"OK","Send in Change Order")</f>
        <v>OK</v>
      </c>
      <c r="S68" s="316" t="s">
        <v>60</v>
      </c>
      <c r="T68" s="317"/>
      <c r="U68" s="166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#8'!AA68,"OK","Alert,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09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167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10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11" t="e">
        <f>V72/V68</f>
        <v>#DIV/0!</v>
      </c>
      <c r="V72" s="88">
        <f>V68-V74-V73</f>
        <v>0</v>
      </c>
      <c r="W72" s="87">
        <v>0</v>
      </c>
      <c r="X72" s="88">
        <f>'Request #8'!Y72</f>
        <v>0</v>
      </c>
      <c r="Y72" s="88">
        <f t="shared" ref="Y72:Y73" si="8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#8'!V73,"OK","Send in Change Order")</f>
        <v>OK</v>
      </c>
      <c r="S73" s="86" t="s">
        <v>95</v>
      </c>
      <c r="T73" s="114"/>
      <c r="U73" s="211" t="e">
        <f>V73/V68</f>
        <v>#DIV/0!</v>
      </c>
      <c r="V73" s="87">
        <f>'Request #8'!V73</f>
        <v>0</v>
      </c>
      <c r="W73" s="87">
        <v>0</v>
      </c>
      <c r="X73" s="88">
        <f>'Request #8'!Y73</f>
        <v>0</v>
      </c>
      <c r="Y73" s="88">
        <f t="shared" si="8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#8'!V74,"OK","Send in Change Order")</f>
        <v>OK</v>
      </c>
      <c r="S74" s="120" t="s">
        <v>96</v>
      </c>
      <c r="T74" s="121"/>
      <c r="U74" s="211" t="e">
        <f>V74/V68</f>
        <v>#DIV/0!</v>
      </c>
      <c r="V74" s="87">
        <f>'Request #8'!V74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77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12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13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13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14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77"/>
      <c r="V80" s="55"/>
      <c r="W80" s="55"/>
      <c r="X80" s="138"/>
      <c r="Y80" s="45" t="s">
        <v>108</v>
      </c>
      <c r="Z80" s="43"/>
      <c r="AA80" s="88">
        <f>'Request #8'!AA79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9</v>
      </c>
      <c r="V87" s="55"/>
      <c r="W87" s="55"/>
      <c r="X87" s="138"/>
      <c r="Y87" s="45" t="s">
        <v>108</v>
      </c>
      <c r="Z87" s="43"/>
      <c r="AA87" s="88">
        <f>'Request #8'!AA86</f>
        <v>0</v>
      </c>
      <c r="AB87" s="110"/>
    </row>
    <row r="88" spans="1:28" ht="30" customHeight="1" thickBot="1" x14ac:dyDescent="0.35">
      <c r="S88" s="55"/>
      <c r="T88" s="55"/>
      <c r="U88" s="77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77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77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77"/>
      <c r="V91" s="55"/>
      <c r="W91" s="55"/>
      <c r="X91" s="55"/>
    </row>
    <row r="92" spans="1:28" ht="30" customHeight="1" x14ac:dyDescent="0.3">
      <c r="S92" s="55"/>
      <c r="T92" s="55"/>
      <c r="U92" s="77"/>
      <c r="V92" s="55"/>
      <c r="W92" s="55"/>
      <c r="X92" s="55"/>
    </row>
    <row r="93" spans="1:28" ht="30" customHeight="1" x14ac:dyDescent="0.3">
      <c r="S93" s="55"/>
      <c r="T93" s="55"/>
      <c r="U93" s="77"/>
      <c r="V93" s="55"/>
      <c r="W93" s="55"/>
      <c r="X93" s="55"/>
    </row>
    <row r="94" spans="1:28" ht="30" customHeight="1" x14ac:dyDescent="0.3">
      <c r="S94" s="55"/>
      <c r="T94" s="55"/>
      <c r="U94" s="77"/>
      <c r="V94" s="55"/>
      <c r="W94" s="55"/>
      <c r="X94" s="55"/>
    </row>
    <row r="95" spans="1:28" ht="30" customHeight="1" x14ac:dyDescent="0.3">
      <c r="S95" s="55"/>
      <c r="T95" s="55"/>
      <c r="U95" s="77"/>
      <c r="V95" s="55"/>
      <c r="W95" s="55"/>
      <c r="X95" s="55"/>
    </row>
    <row r="96" spans="1:28" ht="30" customHeight="1" x14ac:dyDescent="0.3">
      <c r="S96" s="55"/>
      <c r="T96" s="55"/>
      <c r="U96" s="77"/>
      <c r="V96" s="55"/>
      <c r="W96" s="55"/>
      <c r="X96" s="55"/>
    </row>
    <row r="97" spans="15:24" ht="30" customHeight="1" x14ac:dyDescent="0.3">
      <c r="S97" s="55"/>
      <c r="T97" s="55"/>
      <c r="U97" s="77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bmW7T7Mvk8d77bZoXjNqHaauPOBkj7ql4YkCIJKiS603IwMn9v6nnjUD0YHX23LTx3Jn2behOCrYXbz9TgEKHg==" saltValue="0pdnroTmOoo5NqbzDU46Qw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360" priority="9" operator="containsText" text="Change">
      <formula>NOT(ISERROR(SEARCH("Change",R1)))</formula>
    </cfRule>
  </conditionalFormatting>
  <conditionalFormatting sqref="R45:R48">
    <cfRule type="cellIs" dxfId="359" priority="7" operator="equal">
      <formula>"Send in Change Order"</formula>
    </cfRule>
  </conditionalFormatting>
  <conditionalFormatting sqref="W68">
    <cfRule type="cellIs" dxfId="358" priority="2" operator="notEqual">
      <formula>$E$82</formula>
    </cfRule>
    <cfRule type="cellIs" dxfId="357" priority="3" operator="greaterThan">
      <formula>$E$82</formula>
    </cfRule>
    <cfRule type="cellIs" dxfId="356" priority="4" operator="notEqual">
      <formula>$E$82</formula>
    </cfRule>
  </conditionalFormatting>
  <conditionalFormatting sqref="Z12:Z44">
    <cfRule type="cellIs" dxfId="355" priority="8" operator="lessThan">
      <formula>0</formula>
    </cfRule>
  </conditionalFormatting>
  <conditionalFormatting sqref="Z49:Z68">
    <cfRule type="cellIs" dxfId="354" priority="5" operator="lessThan">
      <formula>0</formula>
    </cfRule>
  </conditionalFormatting>
  <conditionalFormatting sqref="AA68">
    <cfRule type="cellIs" dxfId="353" priority="1" operator="notEqual">
      <formula>$O$82</formula>
    </cfRule>
  </conditionalFormatting>
  <conditionalFormatting sqref="AB45:AB48">
    <cfRule type="containsText" dxfId="352" priority="6" operator="containsText" text="Alert">
      <formula>NOT(ISERROR(SEARCH("Alert",AB45)))</formula>
    </cfRule>
  </conditionalFormatting>
  <conditionalFormatting sqref="AB64:AB65">
    <cfRule type="containsText" dxfId="351" priority="10" operator="containsText" text="Alert">
      <formula>NOT(ISERROR(SEARCH("Alert",AB64)))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3" manualBreakCount="13">
    <brk id="6" max="88" man="1"/>
    <brk id="10" max="1048575" man="1"/>
    <brk id="16" max="1048575" man="1"/>
    <brk id="18" max="88" man="1"/>
    <brk id="27" max="88" man="1"/>
    <brk id="29" max="1048575" man="1"/>
    <brk id="33" max="89" man="1"/>
    <brk id="51" max="1048575" man="1"/>
    <brk id="52" max="1048575" man="1"/>
    <brk id="99" max="1048575" man="1"/>
    <brk id="101" max="1048575" man="1"/>
    <brk id="110" max="1048575" man="1"/>
    <brk id="1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8.8867187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44140625" style="50" customWidth="1"/>
    <col min="19" max="19" width="6.77734375" style="39" customWidth="1"/>
    <col min="20" max="20" width="30.88671875" style="39" customWidth="1"/>
    <col min="21" max="21" width="17.77734375" style="206" customWidth="1"/>
    <col min="22" max="27" width="18.88671875" style="39" customWidth="1"/>
    <col min="28" max="28" width="23.33203125" style="54" customWidth="1"/>
    <col min="29" max="29" width="8.88671875" style="40"/>
    <col min="30" max="30" width="16" style="39" customWidth="1"/>
    <col min="31" max="31" width="103.21875" style="39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62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10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62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62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77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07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08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10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90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#9'!V12,"OK","Send in Change Order")</f>
        <v>OK</v>
      </c>
      <c r="S12" s="85">
        <v>1</v>
      </c>
      <c r="T12" s="86" t="str">
        <f>'Request #9'!T12</f>
        <v>Land/Site Grading &amp; Improv.</v>
      </c>
      <c r="U12" s="218">
        <f>'Request #9'!U12</f>
        <v>0</v>
      </c>
      <c r="V12" s="87">
        <f>'Request #9'!V12</f>
        <v>0</v>
      </c>
      <c r="W12" s="88">
        <f>SUMIF(F7:F79,1,E7:E79)</f>
        <v>0</v>
      </c>
      <c r="X12" s="88">
        <f>'Request #9'!Y12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#9'!AA12,"OK","Alert,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#9'!V13,"OK","Send in Change Order")</f>
        <v>OK</v>
      </c>
      <c r="S13" s="85">
        <v>2</v>
      </c>
      <c r="T13" s="86" t="str">
        <f>'Request #9'!T13</f>
        <v xml:space="preserve">General Contract </v>
      </c>
      <c r="U13" s="218">
        <f>'Request #9'!U13</f>
        <v>0</v>
      </c>
      <c r="V13" s="87">
        <f>'Request #9'!V13</f>
        <v>0</v>
      </c>
      <c r="W13" s="88">
        <f>SUMIF(F7:F79,2,E7:E79)</f>
        <v>0</v>
      </c>
      <c r="X13" s="88">
        <f>'Request #9'!Y13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#9'!AA13,"OK","Alert,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#9'!V14,"OK","Send in Change Order")</f>
        <v>OK</v>
      </c>
      <c r="S14" s="85">
        <v>3</v>
      </c>
      <c r="T14" s="86" t="str">
        <f>'Request #9'!T14</f>
        <v>Designer Contract</v>
      </c>
      <c r="U14" s="218">
        <f>'Request #9'!U14</f>
        <v>0</v>
      </c>
      <c r="V14" s="87">
        <f>'Request #9'!V14</f>
        <v>0</v>
      </c>
      <c r="W14" s="88">
        <f>SUMIF(F7:F79,3,E7:E79)</f>
        <v>0</v>
      </c>
      <c r="X14" s="88">
        <f>'Request #9'!Y14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#9'!AA14,"OK","Alert,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#9'!V15,"OK","Send in Change Order")</f>
        <v>OK</v>
      </c>
      <c r="S15" s="85">
        <v>4</v>
      </c>
      <c r="T15" s="86" t="str">
        <f>'Request #9'!T15</f>
        <v>Designer Reimbursables</v>
      </c>
      <c r="U15" s="218">
        <f>'Request #9'!U15</f>
        <v>0</v>
      </c>
      <c r="V15" s="87">
        <f>'Request #9'!V15</f>
        <v>0</v>
      </c>
      <c r="W15" s="88">
        <f>SUMIF(F7:F79,4,E7:E79)</f>
        <v>0</v>
      </c>
      <c r="X15" s="88">
        <f>'Request #9'!Y15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#9'!AA15,"OK","Alert,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#9'!V16,"OK","Send in Change Order")</f>
        <v>OK</v>
      </c>
      <c r="S16" s="85">
        <v>5</v>
      </c>
      <c r="T16" s="86" t="str">
        <f>'Request #9'!T16</f>
        <v>Other Contracts</v>
      </c>
      <c r="U16" s="218">
        <f>'Request #9'!U16</f>
        <v>0</v>
      </c>
      <c r="V16" s="87">
        <f>'Request #9'!V16</f>
        <v>0</v>
      </c>
      <c r="W16" s="88">
        <f>SUMIF(F7:F79,5,E7:E79)</f>
        <v>0</v>
      </c>
      <c r="X16" s="88">
        <f>'Request #9'!Y16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#9'!AA16,"OK","Alert,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#9'!V17,"OK","Send in Change Order")</f>
        <v>OK</v>
      </c>
      <c r="S17" s="85">
        <v>6</v>
      </c>
      <c r="T17" s="86" t="str">
        <f>'Request #9'!T17</f>
        <v>Other Contracts</v>
      </c>
      <c r="U17" s="218">
        <f>'Request #9'!U17</f>
        <v>0</v>
      </c>
      <c r="V17" s="87">
        <f>'Request #9'!V17</f>
        <v>0</v>
      </c>
      <c r="W17" s="88">
        <f>SUMIF(F7:F79,6,E7:E79)</f>
        <v>0</v>
      </c>
      <c r="X17" s="88">
        <f>'Request #9'!Y17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#9'!AA17,"OK","Alert,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#9'!V18,"OK","Send in Change Order")</f>
        <v>OK</v>
      </c>
      <c r="S18" s="85">
        <v>7</v>
      </c>
      <c r="T18" s="86" t="str">
        <f>'Request #9'!T18</f>
        <v>Other Contracts</v>
      </c>
      <c r="U18" s="218">
        <f>'Request #9'!U18</f>
        <v>0</v>
      </c>
      <c r="V18" s="87">
        <f>'Request #9'!V18</f>
        <v>0</v>
      </c>
      <c r="W18" s="88">
        <f>SUMIF(F7:F79,7,E7:E79)</f>
        <v>0</v>
      </c>
      <c r="X18" s="88">
        <f>'Request #9'!Y18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#9'!AA18,"OK","Alert,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#9'!V19,"OK","Send in Change Order")</f>
        <v>OK</v>
      </c>
      <c r="S19" s="85">
        <v>8</v>
      </c>
      <c r="T19" s="86" t="str">
        <f>'Request #9'!T19</f>
        <v>Other Contracts</v>
      </c>
      <c r="U19" s="218">
        <f>'Request #9'!U19</f>
        <v>0</v>
      </c>
      <c r="V19" s="87">
        <f>'Request #9'!V19</f>
        <v>0</v>
      </c>
      <c r="W19" s="88">
        <f>SUMIF(F7:F79,8,E7:E79)</f>
        <v>0</v>
      </c>
      <c r="X19" s="88">
        <f>'Request #9'!Y19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#9'!AA19,"OK","Alert,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#9'!V20,"OK","Send in Change Order")</f>
        <v>OK</v>
      </c>
      <c r="S20" s="85">
        <v>9</v>
      </c>
      <c r="T20" s="86" t="str">
        <f>'Request #9'!T20</f>
        <v>Other Contracts</v>
      </c>
      <c r="U20" s="218">
        <f>'Request #9'!U20</f>
        <v>0</v>
      </c>
      <c r="V20" s="87">
        <f>'Request #9'!V20</f>
        <v>0</v>
      </c>
      <c r="W20" s="88">
        <f>SUMIF(F7:F79,9,E7:E79)</f>
        <v>0</v>
      </c>
      <c r="X20" s="88">
        <f>'Request #9'!Y20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#9'!AA20,"OK","Alert,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#9'!V21,"OK","Send in Change Order")</f>
        <v>OK</v>
      </c>
      <c r="S21" s="85">
        <v>10</v>
      </c>
      <c r="T21" s="86" t="str">
        <f>'Request #9'!T21</f>
        <v>Other Contracts</v>
      </c>
      <c r="U21" s="218">
        <f>'Request #9'!U21</f>
        <v>0</v>
      </c>
      <c r="V21" s="87">
        <f>'Request #9'!V21</f>
        <v>0</v>
      </c>
      <c r="W21" s="88">
        <f>SUMIF(F7:F79,10,E7:E79)</f>
        <v>0</v>
      </c>
      <c r="X21" s="88">
        <f>'Request #9'!Y21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#9'!AA21,"OK","Alert,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#9'!V22,"OK","Send in Change Order")</f>
        <v>OK</v>
      </c>
      <c r="S22" s="85">
        <v>11</v>
      </c>
      <c r="T22" s="86" t="str">
        <f>'Request #9'!T22</f>
        <v>Other Contracts</v>
      </c>
      <c r="U22" s="218">
        <f>'Request #9'!U22</f>
        <v>0</v>
      </c>
      <c r="V22" s="87">
        <f>'Request #9'!V22</f>
        <v>0</v>
      </c>
      <c r="W22" s="88">
        <f>SUMIF(F7:F79,11,E7:E79)</f>
        <v>0</v>
      </c>
      <c r="X22" s="88">
        <f>'Request #9'!Y22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#9'!AA22,"OK","Alert,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#9'!V23,"OK","Send in Change Order")</f>
        <v>OK</v>
      </c>
      <c r="S23" s="85">
        <v>12</v>
      </c>
      <c r="T23" s="86" t="str">
        <f>'Request #9'!T23</f>
        <v>Other Contracts</v>
      </c>
      <c r="U23" s="218">
        <f>'Request #9'!U23</f>
        <v>0</v>
      </c>
      <c r="V23" s="87">
        <f>'Request #9'!V23</f>
        <v>0</v>
      </c>
      <c r="W23" s="88">
        <f>SUMIF(F7:F79,12,E7:E79)</f>
        <v>0</v>
      </c>
      <c r="X23" s="88">
        <f>'Request #9'!Y23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#9'!AA23,"OK","Alert,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#9'!V24,"OK","Send in Change Order")</f>
        <v>OK</v>
      </c>
      <c r="S24" s="85">
        <v>13</v>
      </c>
      <c r="T24" s="86" t="str">
        <f>'Request #9'!T24</f>
        <v>Other Contracts</v>
      </c>
      <c r="U24" s="218">
        <f>'Request #9'!U24</f>
        <v>0</v>
      </c>
      <c r="V24" s="87">
        <f>'Request #9'!V24</f>
        <v>0</v>
      </c>
      <c r="W24" s="88">
        <f>SUMIF(F7:F79,13,E7:E79)</f>
        <v>0</v>
      </c>
      <c r="X24" s="88">
        <f>'Request #9'!Y24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#9'!AA24,"OK","Alert,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#9'!V25,"OK","Send in Change Order")</f>
        <v>OK</v>
      </c>
      <c r="S25" s="85">
        <v>14</v>
      </c>
      <c r="T25" s="86" t="str">
        <f>'Request #9'!T25</f>
        <v>Other Contracts</v>
      </c>
      <c r="U25" s="218">
        <f>'Request #9'!U25</f>
        <v>0</v>
      </c>
      <c r="V25" s="87">
        <f>'Request #9'!V25</f>
        <v>0</v>
      </c>
      <c r="W25" s="88">
        <f>SUMIF(F7:F79,14,E7:E79)</f>
        <v>0</v>
      </c>
      <c r="X25" s="88">
        <f>'Request #9'!Y25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#9'!AA25,"OK","Alert,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#9'!V26,"OK","Send in Change Order")</f>
        <v>OK</v>
      </c>
      <c r="S26" s="85">
        <v>15</v>
      </c>
      <c r="T26" s="86" t="str">
        <f>'Request #9'!T26</f>
        <v>Other Contracts</v>
      </c>
      <c r="U26" s="218">
        <f>'Request #9'!U26</f>
        <v>0</v>
      </c>
      <c r="V26" s="87">
        <f>'Request #9'!V26</f>
        <v>0</v>
      </c>
      <c r="W26" s="88">
        <f>SUMIF(F7:F79,15,E7:E79)</f>
        <v>0</v>
      </c>
      <c r="X26" s="88">
        <f>'Request #9'!Y26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#9'!AA26,"OK","Alert,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#9'!V27,"OK","Send in Change Order")</f>
        <v>OK</v>
      </c>
      <c r="S27" s="85">
        <v>16</v>
      </c>
      <c r="T27" s="86" t="str">
        <f>'Request #9'!T27</f>
        <v>Other Contracts</v>
      </c>
      <c r="U27" s="218">
        <f>'Request #9'!U27</f>
        <v>0</v>
      </c>
      <c r="V27" s="87">
        <f>'Request #9'!V27</f>
        <v>0</v>
      </c>
      <c r="W27" s="88">
        <f>SUMIF(F7:F79,16,E7:E79)</f>
        <v>0</v>
      </c>
      <c r="X27" s="88">
        <f>'Request #9'!Y27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#9'!AA27,"OK","Alert,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#9'!V28,"OK","Send in Change Order")</f>
        <v>OK</v>
      </c>
      <c r="S28" s="85">
        <v>17</v>
      </c>
      <c r="T28" s="86" t="str">
        <f>'Request #9'!T28</f>
        <v>Other Contracts</v>
      </c>
      <c r="U28" s="218">
        <f>'Request #9'!U28</f>
        <v>0</v>
      </c>
      <c r="V28" s="87">
        <f>'Request #9'!V28</f>
        <v>0</v>
      </c>
      <c r="W28" s="88">
        <f>SUMIF(F7:F79,17,E7:E79)</f>
        <v>0</v>
      </c>
      <c r="X28" s="88">
        <f>'Request #9'!Y28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#9'!AA28,"OK","Alert,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#9'!V29,"OK","Send in Change Order")</f>
        <v>OK</v>
      </c>
      <c r="S29" s="85">
        <v>18</v>
      </c>
      <c r="T29" s="86" t="str">
        <f>'Request #9'!T29</f>
        <v>Other Contracts</v>
      </c>
      <c r="U29" s="218">
        <f>'Request #9'!U29</f>
        <v>0</v>
      </c>
      <c r="V29" s="87">
        <f>'Request #9'!V29</f>
        <v>0</v>
      </c>
      <c r="W29" s="88">
        <f>SUMIF(F7:F79,18,E7:E79)</f>
        <v>0</v>
      </c>
      <c r="X29" s="88">
        <f>'Request #9'!Y29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#9'!AA29,"OK","Alert,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#9'!V30,"OK","Send in Change Order")</f>
        <v>OK</v>
      </c>
      <c r="S30" s="85">
        <v>19</v>
      </c>
      <c r="T30" s="86" t="str">
        <f>'Request #9'!T30</f>
        <v>Other Contracts</v>
      </c>
      <c r="U30" s="218">
        <f>'Request #9'!U30</f>
        <v>0</v>
      </c>
      <c r="V30" s="87">
        <f>'Request #9'!V30</f>
        <v>0</v>
      </c>
      <c r="W30" s="88">
        <f>SUMIF(F7:F79,19,E7:E79)</f>
        <v>0</v>
      </c>
      <c r="X30" s="88">
        <f>'Request #9'!Y30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#9'!AA30,"OK","Alert,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#9'!V31,"OK","Send in Change Order")</f>
        <v>OK</v>
      </c>
      <c r="S31" s="85">
        <v>20</v>
      </c>
      <c r="T31" s="86" t="str">
        <f>'Request #9'!T31</f>
        <v>Other Contracts</v>
      </c>
      <c r="U31" s="218">
        <f>'Request #9'!U31</f>
        <v>0</v>
      </c>
      <c r="V31" s="87">
        <f>'Request #9'!V31</f>
        <v>0</v>
      </c>
      <c r="W31" s="88">
        <f>SUMIF(F7:F79,20,E7:E79)</f>
        <v>0</v>
      </c>
      <c r="X31" s="88">
        <f>'Request #9'!Y31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#9'!AA31,"OK","Alert,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#9'!V32,"OK","Send in Change Order")</f>
        <v>OK</v>
      </c>
      <c r="S32" s="85">
        <v>21</v>
      </c>
      <c r="T32" s="86" t="str">
        <f>'Request #9'!T32</f>
        <v>Other Contracts</v>
      </c>
      <c r="U32" s="218">
        <f>'Request #9'!U32</f>
        <v>0</v>
      </c>
      <c r="V32" s="87">
        <f>'Request #9'!V32</f>
        <v>0</v>
      </c>
      <c r="W32" s="88">
        <f>SUMIF(F7:F79,21,E7:E79)</f>
        <v>0</v>
      </c>
      <c r="X32" s="88">
        <f>'Request #9'!Y32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#9'!AA32,"OK","Alert,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#9'!V33,"OK","Send in Change Order")</f>
        <v>OK</v>
      </c>
      <c r="S33" s="85">
        <v>22</v>
      </c>
      <c r="T33" s="86" t="str">
        <f>'Request #9'!T33</f>
        <v>Other Contracts</v>
      </c>
      <c r="U33" s="218">
        <f>'Request #9'!U33</f>
        <v>0</v>
      </c>
      <c r="V33" s="87">
        <f>'Request #9'!V33</f>
        <v>0</v>
      </c>
      <c r="W33" s="88">
        <f>SUMIF(F7:F79,22,E7:E79)</f>
        <v>0</v>
      </c>
      <c r="X33" s="88">
        <f>'Request #9'!Y33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#9'!AA33,"OK","Alert,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#9'!V34,"OK","Send in Change Order")</f>
        <v>OK</v>
      </c>
      <c r="S34" s="85">
        <v>23</v>
      </c>
      <c r="T34" s="86" t="str">
        <f>'Request #9'!T34</f>
        <v>Other Contracts</v>
      </c>
      <c r="U34" s="218">
        <f>'Request #9'!U34</f>
        <v>0</v>
      </c>
      <c r="V34" s="87">
        <f>'Request #9'!V34</f>
        <v>0</v>
      </c>
      <c r="W34" s="88">
        <f>SUMIF(F7:F79,23,E7:E79)</f>
        <v>0</v>
      </c>
      <c r="X34" s="88">
        <f>'Request #9'!Y34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#9'!AA34,"OK","Alert,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#9'!V35,"OK","Send in Change Order")</f>
        <v>OK</v>
      </c>
      <c r="S35" s="85">
        <v>24</v>
      </c>
      <c r="T35" s="86" t="str">
        <f>'Request #9'!T35</f>
        <v>Other Contracts</v>
      </c>
      <c r="U35" s="218">
        <f>'Request #9'!U35</f>
        <v>0</v>
      </c>
      <c r="V35" s="87">
        <f>'Request #9'!V35</f>
        <v>0</v>
      </c>
      <c r="W35" s="88">
        <f>SUMIF(F7:F79,24,E7:E79)</f>
        <v>0</v>
      </c>
      <c r="X35" s="88">
        <f>'Request #9'!Y35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#9'!AA35,"OK","Alert,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#9'!V36,"OK","Send in Change Order")</f>
        <v>OK</v>
      </c>
      <c r="S36" s="85">
        <v>25</v>
      </c>
      <c r="T36" s="86" t="str">
        <f>'Request #9'!T36</f>
        <v>Other Contracts</v>
      </c>
      <c r="U36" s="218">
        <f>'Request #9'!U36</f>
        <v>0</v>
      </c>
      <c r="V36" s="87">
        <f>'Request #9'!V36</f>
        <v>0</v>
      </c>
      <c r="W36" s="88">
        <f>SUMIF(F7:F79,25,E7:E79)</f>
        <v>0</v>
      </c>
      <c r="X36" s="88">
        <f>'Request #9'!Y36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#9'!AA36,"OK","Alert,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#9'!V37,"OK","Send in Change Order")</f>
        <v>OK</v>
      </c>
      <c r="S37" s="85">
        <v>26</v>
      </c>
      <c r="T37" s="86" t="str">
        <f>'Request #9'!T37</f>
        <v>Other Fees</v>
      </c>
      <c r="U37" s="218">
        <f>'Request #9'!U37</f>
        <v>0</v>
      </c>
      <c r="V37" s="87">
        <f>'Request #9'!V37</f>
        <v>0</v>
      </c>
      <c r="W37" s="88">
        <f>SUMIF(F7:F79,26,E7:E79)</f>
        <v>0</v>
      </c>
      <c r="X37" s="88">
        <f>'Request #9'!Y37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#9'!AA37,"OK","Alert,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#9'!V38,"OK","Send in Change Order")</f>
        <v>OK</v>
      </c>
      <c r="S38" s="85">
        <v>27</v>
      </c>
      <c r="T38" s="86" t="str">
        <f>'Request #9'!T38</f>
        <v>Other Fees</v>
      </c>
      <c r="U38" s="218">
        <f>'Request #9'!U38</f>
        <v>0</v>
      </c>
      <c r="V38" s="87">
        <f>'Request #9'!V38</f>
        <v>0</v>
      </c>
      <c r="W38" s="88">
        <f>SUMIF(F7:F79,27,E7:E79)</f>
        <v>0</v>
      </c>
      <c r="X38" s="88">
        <f>'Request #9'!Y38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#9'!AA38,"OK","Alert,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#9'!V39,"OK","Send in Change Order")</f>
        <v>OK</v>
      </c>
      <c r="S39" s="85">
        <v>28</v>
      </c>
      <c r="T39" s="86" t="str">
        <f>'Request #9'!T39</f>
        <v>Other Fees</v>
      </c>
      <c r="U39" s="218">
        <f>'Request #9'!U39</f>
        <v>0</v>
      </c>
      <c r="V39" s="87">
        <f>'Request #9'!V39</f>
        <v>0</v>
      </c>
      <c r="W39" s="88">
        <f>SUMIF(F7:F79,28,E7:E79)</f>
        <v>0</v>
      </c>
      <c r="X39" s="88">
        <f>'Request #9'!Y39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#9'!AA39,"OK","Alert,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#9'!V40,"OK","Send in Change Order")</f>
        <v>OK</v>
      </c>
      <c r="S40" s="85">
        <v>29</v>
      </c>
      <c r="T40" s="86" t="str">
        <f>'Request #9'!T40</f>
        <v>Other Fees</v>
      </c>
      <c r="U40" s="218">
        <f>'Request #9'!U40</f>
        <v>0</v>
      </c>
      <c r="V40" s="87">
        <f>'Request #9'!V40</f>
        <v>0</v>
      </c>
      <c r="W40" s="88">
        <f>SUMIF(F7:F79,29,E7:E79)</f>
        <v>0</v>
      </c>
      <c r="X40" s="88">
        <f>'Request #9'!Y40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#9'!AA40,"OK","Alert,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#9'!V41,"OK","Send in Change Order")</f>
        <v>OK</v>
      </c>
      <c r="S41" s="85">
        <v>30</v>
      </c>
      <c r="T41" s="86" t="str">
        <f>'Request #9'!T41</f>
        <v>Other Fees</v>
      </c>
      <c r="U41" s="218">
        <f>'Request #9'!U41</f>
        <v>0</v>
      </c>
      <c r="V41" s="87">
        <f>'Request #9'!V41</f>
        <v>0</v>
      </c>
      <c r="W41" s="88">
        <f>SUMIF(F7:F79,30,E7:E79)</f>
        <v>0</v>
      </c>
      <c r="X41" s="88">
        <f>'Request #9'!Y41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#9'!AA41,"OK","Alert,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#9'!V42,"OK","Send in Change Order")</f>
        <v>OK</v>
      </c>
      <c r="S42" s="85">
        <v>31</v>
      </c>
      <c r="T42" s="86" t="str">
        <f>'Request #9'!T42</f>
        <v>Other Fees</v>
      </c>
      <c r="U42" s="218">
        <f>'Request #9'!U42</f>
        <v>0</v>
      </c>
      <c r="V42" s="87">
        <f>'Request #9'!V42</f>
        <v>0</v>
      </c>
      <c r="W42" s="88">
        <f>SUMIF(F7:F79,31,E7:E79)</f>
        <v>0</v>
      </c>
      <c r="X42" s="88">
        <f>'Request #9'!Y42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#9'!AA42,"OK","Alert,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#9'!V43,"OK","Send in Change Order")</f>
        <v>OK</v>
      </c>
      <c r="S43" s="85">
        <v>32</v>
      </c>
      <c r="T43" s="86" t="str">
        <f>'Request #9'!T43</f>
        <v>Other Fees</v>
      </c>
      <c r="U43" s="218">
        <f>'Request #9'!U43</f>
        <v>0</v>
      </c>
      <c r="V43" s="87">
        <f>'Request #9'!V43</f>
        <v>0</v>
      </c>
      <c r="W43" s="88">
        <f>SUMIF(F7:F79,32,E7:E79)</f>
        <v>0</v>
      </c>
      <c r="X43" s="88">
        <f>'Request #9'!Y43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#9'!AA43,"OK","Alert,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#9'!V44,"OK","Send in Change Order")</f>
        <v>OK</v>
      </c>
      <c r="S44" s="85">
        <v>33</v>
      </c>
      <c r="T44" s="86" t="str">
        <f>'Request #9'!T44</f>
        <v>Other Fees</v>
      </c>
      <c r="U44" s="218">
        <f>'Request #9'!U44</f>
        <v>0</v>
      </c>
      <c r="V44" s="87">
        <f>'Request #9'!V44</f>
        <v>0</v>
      </c>
      <c r="W44" s="88">
        <f>SUMIF(F7:F79,33,E7:E79)</f>
        <v>0</v>
      </c>
      <c r="X44" s="88">
        <f>'Request #9'!Y44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#9'!AA44,"OK","Alert,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#9'!V49,"OK","Send in Change Order")</f>
        <v>OK</v>
      </c>
      <c r="S49" s="85">
        <v>38</v>
      </c>
      <c r="T49" s="86" t="str">
        <f>'Request #9'!T49</f>
        <v>Other Fees</v>
      </c>
      <c r="U49" s="218">
        <f>'Request #9'!U49</f>
        <v>0</v>
      </c>
      <c r="V49" s="87">
        <f>'Request #9'!V49</f>
        <v>0</v>
      </c>
      <c r="W49" s="88">
        <f>SUMIF(F7:F79,38,E7:E79)</f>
        <v>0</v>
      </c>
      <c r="X49" s="88">
        <f>'Request #9'!Y49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#9'!AA49,"OK","Alert,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#9'!V50,"OK","Send in Change Order")</f>
        <v>OK</v>
      </c>
      <c r="S50" s="85">
        <v>39</v>
      </c>
      <c r="T50" s="86" t="str">
        <f>'Request #9'!T50</f>
        <v>Other Fees</v>
      </c>
      <c r="U50" s="218">
        <f>'Request #9'!U50</f>
        <v>0</v>
      </c>
      <c r="V50" s="87">
        <f>'Request #9'!V50</f>
        <v>0</v>
      </c>
      <c r="W50" s="88">
        <f>SUMIF(F7:F79,39,E7:E79)</f>
        <v>0</v>
      </c>
      <c r="X50" s="88">
        <f>'Request #9'!Y50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#9'!AA50,"OK","Alert,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#9'!V51,"OK","Send in Change Order")</f>
        <v>OK</v>
      </c>
      <c r="S51" s="85">
        <v>40</v>
      </c>
      <c r="T51" s="86" t="str">
        <f>'Request #9'!T51</f>
        <v>Other Fees</v>
      </c>
      <c r="U51" s="218">
        <f>'Request #9'!U51</f>
        <v>0</v>
      </c>
      <c r="V51" s="87">
        <f>'Request #9'!V51</f>
        <v>0</v>
      </c>
      <c r="W51" s="88">
        <f>SUMIF(F7:F79,40,E7:E79)</f>
        <v>0</v>
      </c>
      <c r="X51" s="88">
        <f>'Request #9'!Y51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#9'!AA51,"OK","Alert,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#9'!V52,"OK","Send in Change Order")</f>
        <v>OK</v>
      </c>
      <c r="S52" s="85">
        <v>41</v>
      </c>
      <c r="T52" s="86" t="str">
        <f>'Request #9'!T52</f>
        <v>Other Fees</v>
      </c>
      <c r="U52" s="218">
        <f>'Request #9'!U52</f>
        <v>0</v>
      </c>
      <c r="V52" s="87">
        <f>'Request #9'!V52</f>
        <v>0</v>
      </c>
      <c r="W52" s="88">
        <f>SUMIF(F7:F79,41,E7:E79)</f>
        <v>0</v>
      </c>
      <c r="X52" s="88">
        <f>'Request #9'!Y52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#9'!AA52,"OK","Alert,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#9'!V53,"OK","Send in Change Order")</f>
        <v>OK</v>
      </c>
      <c r="S53" s="85">
        <v>42</v>
      </c>
      <c r="T53" s="86" t="str">
        <f>'Request #9'!T53</f>
        <v>Other Fees</v>
      </c>
      <c r="U53" s="218">
        <f>'Request #9'!U53</f>
        <v>0</v>
      </c>
      <c r="V53" s="87">
        <f>'Request #9'!V53</f>
        <v>0</v>
      </c>
      <c r="W53" s="88">
        <f>SUMIF(F7:F79,42,E7:E79)</f>
        <v>0</v>
      </c>
      <c r="X53" s="88">
        <f>'Request #9'!Y53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#9'!AA53,"OK","Alert,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#9'!V54,"OK","Send in Change Order")</f>
        <v>OK</v>
      </c>
      <c r="S54" s="85">
        <v>43</v>
      </c>
      <c r="T54" s="86" t="str">
        <f>'Request #9'!T54</f>
        <v>Other Fees</v>
      </c>
      <c r="U54" s="218">
        <f>'Request #9'!U54</f>
        <v>0</v>
      </c>
      <c r="V54" s="87">
        <f>'Request #9'!V54</f>
        <v>0</v>
      </c>
      <c r="W54" s="88">
        <f>SUMIF(F7:F79,43,E7:E79)</f>
        <v>0</v>
      </c>
      <c r="X54" s="88">
        <f>'Request #9'!Y54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#9'!AA54,"OK","Alert,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#9'!V55,"OK","Send in Change Order")</f>
        <v>OK</v>
      </c>
      <c r="S55" s="85">
        <v>44</v>
      </c>
      <c r="T55" s="86" t="str">
        <f>'Request #9'!T55</f>
        <v>Other Fees</v>
      </c>
      <c r="U55" s="218">
        <f>'Request #9'!U55</f>
        <v>0</v>
      </c>
      <c r="V55" s="87">
        <f>'Request #9'!V55</f>
        <v>0</v>
      </c>
      <c r="W55" s="88">
        <f>SUMIF(F7:F79,44,E7:E79)</f>
        <v>0</v>
      </c>
      <c r="X55" s="88">
        <f>'Request #9'!Y55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#9'!AA55,"OK","Alert,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#9'!V56,"OK","Send in Change Order")</f>
        <v>OK</v>
      </c>
      <c r="S56" s="85">
        <v>45</v>
      </c>
      <c r="T56" s="86" t="str">
        <f>'Request #9'!T56</f>
        <v>Other Fees</v>
      </c>
      <c r="U56" s="218">
        <f>'Request #9'!U56</f>
        <v>0</v>
      </c>
      <c r="V56" s="87">
        <f>'Request #9'!V56</f>
        <v>0</v>
      </c>
      <c r="W56" s="88">
        <f>SUMIF(F7:F79,45,E7:E79)</f>
        <v>0</v>
      </c>
      <c r="X56" s="88">
        <f>'Request #9'!Y56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#9'!AA56,"OK","Alert,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#9'!V57,"OK","Send in Change Order")</f>
        <v>OK</v>
      </c>
      <c r="S57" s="85">
        <v>46</v>
      </c>
      <c r="T57" s="86" t="str">
        <f>'Request #9'!T57</f>
        <v>Other Fees</v>
      </c>
      <c r="U57" s="218">
        <f>'Request #9'!U57</f>
        <v>0</v>
      </c>
      <c r="V57" s="87">
        <f>'Request #9'!V57</f>
        <v>0</v>
      </c>
      <c r="W57" s="88">
        <f>SUMIF(F7:F79,46,E7:E79)</f>
        <v>0</v>
      </c>
      <c r="X57" s="88">
        <f>'Request #9'!Y57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#9'!AA57,"OK","Alert,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#9'!V58,"OK","Send in Change Order")</f>
        <v>OK</v>
      </c>
      <c r="S58" s="85">
        <v>47</v>
      </c>
      <c r="T58" s="86" t="str">
        <f>'Request #9'!T58</f>
        <v>Other Fees</v>
      </c>
      <c r="U58" s="218">
        <f>'Request #9'!U58</f>
        <v>0</v>
      </c>
      <c r="V58" s="87">
        <f>'Request #9'!V58</f>
        <v>0</v>
      </c>
      <c r="W58" s="88">
        <f>SUMIF(F7:F79,47,E7:E79)</f>
        <v>0</v>
      </c>
      <c r="X58" s="88">
        <f>'Request #9'!Y58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#9'!AA58,"OK","Alert,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#9'!V59,"OK","Send in Change Order")</f>
        <v>OK</v>
      </c>
      <c r="S59" s="85">
        <v>48</v>
      </c>
      <c r="T59" s="86" t="str">
        <f>'Request #9'!T59</f>
        <v>Other Fees</v>
      </c>
      <c r="U59" s="218">
        <f>'Request #9'!U59</f>
        <v>0</v>
      </c>
      <c r="V59" s="87">
        <f>'Request #9'!V59</f>
        <v>0</v>
      </c>
      <c r="W59" s="88">
        <f>SUMIF(F7:F79,48,E7:E79)</f>
        <v>0</v>
      </c>
      <c r="X59" s="88">
        <f>'Request #9'!Y59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#9'!AA59,"OK","Alert,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#9'!V60,"OK","Send in Change Order")</f>
        <v>OK</v>
      </c>
      <c r="S60" s="85">
        <v>49</v>
      </c>
      <c r="T60" s="86" t="str">
        <f>'Request #9'!T60</f>
        <v>Other Fees</v>
      </c>
      <c r="U60" s="218">
        <f>'Request #9'!U60</f>
        <v>0</v>
      </c>
      <c r="V60" s="87">
        <f>'Request #9'!V60</f>
        <v>0</v>
      </c>
      <c r="W60" s="88">
        <f>SUMIF(F7:F79,49,E7:E79)</f>
        <v>0</v>
      </c>
      <c r="X60" s="88">
        <f>'Request #9'!Y60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#9'!AA60,"OK","Alert,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#9'!V61,"OK","Send in Change Order")</f>
        <v>OK</v>
      </c>
      <c r="S61" s="85">
        <v>50</v>
      </c>
      <c r="T61" s="86" t="str">
        <f>'Request #9'!T61</f>
        <v>Other Fees</v>
      </c>
      <c r="U61" s="218">
        <f>'Request #9'!U61</f>
        <v>0</v>
      </c>
      <c r="V61" s="87">
        <f>'Request #9'!V61</f>
        <v>0</v>
      </c>
      <c r="W61" s="88">
        <f>SUMIF(F7:F79,50,E7:E79)</f>
        <v>0</v>
      </c>
      <c r="X61" s="88">
        <f>'Request #9'!Y61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#9'!AA61,"OK","Alert,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#9'!V62,"OK","Send in Change Order")</f>
        <v>OK</v>
      </c>
      <c r="S62" s="85">
        <v>51</v>
      </c>
      <c r="T62" s="86" t="str">
        <f>'Request #9'!T62</f>
        <v>Other Fees</v>
      </c>
      <c r="U62" s="218">
        <f>'Request #9'!U62</f>
        <v>0</v>
      </c>
      <c r="V62" s="87">
        <f>'Request #9'!V62</f>
        <v>0</v>
      </c>
      <c r="W62" s="88">
        <f>SUMIF(F7:F79,51,E7:E79)</f>
        <v>0</v>
      </c>
      <c r="X62" s="88">
        <f>'Request #9'!Y62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#9'!AA62,"OK","Alert,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#9'!V63,"OK","Send in Change Order")</f>
        <v>OK</v>
      </c>
      <c r="S63" s="85">
        <v>52</v>
      </c>
      <c r="T63" s="86" t="str">
        <f>'Request #9'!T63</f>
        <v>Worked Performed by Owner</v>
      </c>
      <c r="U63" s="218">
        <f>'Request #9'!U63</f>
        <v>0</v>
      </c>
      <c r="V63" s="87">
        <f>'Request #9'!V63</f>
        <v>0</v>
      </c>
      <c r="W63" s="88">
        <f>SUMIF(F7:F79,52,E7:E79)</f>
        <v>0</v>
      </c>
      <c r="X63" s="88">
        <f>'Request #9'!Y63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#9'!AA63,"OK","Alert,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#9'!V64,"OK","Send in Change Order")</f>
        <v>OK</v>
      </c>
      <c r="S64" s="85">
        <v>53</v>
      </c>
      <c r="T64" s="86" t="str">
        <f>'Request #9'!T64</f>
        <v>Equipment (Major)</v>
      </c>
      <c r="U64" s="218">
        <f>'Request #9'!U64</f>
        <v>0</v>
      </c>
      <c r="V64" s="87">
        <f>'Request #9'!V64</f>
        <v>0</v>
      </c>
      <c r="W64" s="88">
        <f>SUMIF(F7:F79,53,E7:E79)</f>
        <v>0</v>
      </c>
      <c r="X64" s="88">
        <f>'Request #9'!Y64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#9'!AA64,"OK","Alert,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#9'!V65,"OK","Send in Change Order")</f>
        <v>OK</v>
      </c>
      <c r="S65" s="85">
        <v>54</v>
      </c>
      <c r="T65" s="102" t="s">
        <v>90</v>
      </c>
      <c r="U65" s="218">
        <f>'Request #9'!U65</f>
        <v>0</v>
      </c>
      <c r="V65" s="87">
        <f>'Request #9'!V65</f>
        <v>0</v>
      </c>
      <c r="W65" s="104"/>
      <c r="X65" s="88">
        <f>'Request #9'!Y65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#9'!AA65,"OK","Alert,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#9'!V66,"OK","Send in Change Order")</f>
        <v>OK</v>
      </c>
      <c r="S66" s="85">
        <v>55</v>
      </c>
      <c r="T66" s="86"/>
      <c r="U66" s="218">
        <f>'Request #9'!U66</f>
        <v>0</v>
      </c>
      <c r="V66" s="87">
        <f>'Request #9'!V66</f>
        <v>0</v>
      </c>
      <c r="W66" s="88">
        <f>SUMIF(F7:F79,55,E7:E79)</f>
        <v>0</v>
      </c>
      <c r="X66" s="88">
        <f>'Request #9'!Y66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#9'!AA66,"OK","Alert,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#9'!V67,"OK","Send in Change Order")</f>
        <v>OK</v>
      </c>
      <c r="S67" s="85">
        <v>56</v>
      </c>
      <c r="T67" s="79"/>
      <c r="U67" s="218">
        <f>'Request #9'!U67</f>
        <v>0</v>
      </c>
      <c r="V67" s="87">
        <f>'Request #9'!V67</f>
        <v>0</v>
      </c>
      <c r="W67" s="88">
        <f>SUMIF(F7:F79,56,E7:E79)</f>
        <v>0</v>
      </c>
      <c r="X67" s="88">
        <f>'Request #9'!Y67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#9'!AA67,"OK","Alert,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#9'!V68,"OK","Send in Change Order")</f>
        <v>OK</v>
      </c>
      <c r="S68" s="316" t="s">
        <v>60</v>
      </c>
      <c r="T68" s="317"/>
      <c r="U68" s="166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#9'!AA68,"OK","Alert,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09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167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10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11" t="e">
        <f>V72/V68</f>
        <v>#DIV/0!</v>
      </c>
      <c r="V72" s="88">
        <f>V68-V74-V73</f>
        <v>0</v>
      </c>
      <c r="W72" s="87">
        <v>0</v>
      </c>
      <c r="X72" s="88">
        <f>'Request #9'!Y72</f>
        <v>0</v>
      </c>
      <c r="Y72" s="88">
        <f t="shared" ref="Y72:Y73" si="8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#9'!V73,"OK","Send in Change Order")</f>
        <v>OK</v>
      </c>
      <c r="S73" s="86" t="s">
        <v>95</v>
      </c>
      <c r="T73" s="114"/>
      <c r="U73" s="211" t="e">
        <f>V73/V68</f>
        <v>#DIV/0!</v>
      </c>
      <c r="V73" s="87">
        <f>'Request #9'!V73</f>
        <v>0</v>
      </c>
      <c r="W73" s="87">
        <v>0</v>
      </c>
      <c r="X73" s="88">
        <f>'Request #9'!Y73</f>
        <v>0</v>
      </c>
      <c r="Y73" s="88">
        <f t="shared" si="8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#9'!V74,"OK","Send in Change Order")</f>
        <v>OK</v>
      </c>
      <c r="S74" s="120" t="s">
        <v>96</v>
      </c>
      <c r="T74" s="121"/>
      <c r="U74" s="211" t="e">
        <f>V74/V68</f>
        <v>#DIV/0!</v>
      </c>
      <c r="V74" s="87">
        <f>'Request #9'!V74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77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12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13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13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14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77"/>
      <c r="V80" s="55"/>
      <c r="W80" s="55"/>
      <c r="X80" s="138"/>
      <c r="Y80" s="45" t="s">
        <v>108</v>
      </c>
      <c r="Z80" s="43"/>
      <c r="AA80" s="88">
        <f>'Request #9'!AA79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10</v>
      </c>
      <c r="V87" s="55"/>
      <c r="W87" s="55"/>
      <c r="X87" s="138"/>
      <c r="Y87" s="45" t="s">
        <v>108</v>
      </c>
      <c r="Z87" s="43"/>
      <c r="AA87" s="88">
        <f>'Request #9'!AA86</f>
        <v>0</v>
      </c>
      <c r="AB87" s="110"/>
    </row>
    <row r="88" spans="1:28" ht="30" customHeight="1" thickBot="1" x14ac:dyDescent="0.35">
      <c r="S88" s="55"/>
      <c r="T88" s="55"/>
      <c r="U88" s="77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77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77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77"/>
      <c r="V91" s="55"/>
      <c r="W91" s="55"/>
      <c r="X91" s="55"/>
    </row>
    <row r="92" spans="1:28" ht="30" customHeight="1" x14ac:dyDescent="0.3">
      <c r="S92" s="55"/>
      <c r="T92" s="55"/>
      <c r="U92" s="77"/>
      <c r="V92" s="55"/>
      <c r="W92" s="55"/>
      <c r="X92" s="55"/>
    </row>
    <row r="93" spans="1:28" ht="30" customHeight="1" x14ac:dyDescent="0.3">
      <c r="S93" s="55"/>
      <c r="T93" s="55"/>
      <c r="U93" s="77"/>
      <c r="V93" s="55"/>
      <c r="W93" s="55"/>
      <c r="X93" s="55"/>
    </row>
    <row r="94" spans="1:28" ht="30" customHeight="1" x14ac:dyDescent="0.3">
      <c r="S94" s="55"/>
      <c r="T94" s="55"/>
      <c r="U94" s="77"/>
      <c r="V94" s="55"/>
      <c r="W94" s="55"/>
      <c r="X94" s="55"/>
    </row>
    <row r="95" spans="1:28" ht="30" customHeight="1" x14ac:dyDescent="0.3">
      <c r="S95" s="55"/>
      <c r="T95" s="55"/>
      <c r="U95" s="77"/>
      <c r="V95" s="55"/>
      <c r="W95" s="55"/>
      <c r="X95" s="55"/>
    </row>
    <row r="96" spans="1:28" ht="30" customHeight="1" x14ac:dyDescent="0.3">
      <c r="S96" s="55"/>
      <c r="T96" s="55"/>
      <c r="U96" s="77"/>
      <c r="V96" s="55"/>
      <c r="W96" s="55"/>
      <c r="X96" s="55"/>
    </row>
    <row r="97" spans="15:24" ht="30" customHeight="1" x14ac:dyDescent="0.3">
      <c r="S97" s="55"/>
      <c r="T97" s="55"/>
      <c r="U97" s="77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YkFInttUkbVFuvsJn1FMLgxHGTEmG1KKGt15V/9EnYPleW1WINwCqlYdUhLsGBk+UOvPPFbtYQpmCOl1niThXQ==" saltValue="P4C0PGHUqDW5s5LajWEgsw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350" priority="9" operator="containsText" text="Change">
      <formula>NOT(ISERROR(SEARCH("Change",R1)))</formula>
    </cfRule>
  </conditionalFormatting>
  <conditionalFormatting sqref="R45:R48">
    <cfRule type="cellIs" dxfId="349" priority="7" operator="equal">
      <formula>"Send in Change Order"</formula>
    </cfRule>
  </conditionalFormatting>
  <conditionalFormatting sqref="W68">
    <cfRule type="cellIs" dxfId="348" priority="2" operator="notEqual">
      <formula>$E$82</formula>
    </cfRule>
    <cfRule type="cellIs" dxfId="347" priority="3" operator="greaterThan">
      <formula>$E$82</formula>
    </cfRule>
    <cfRule type="cellIs" dxfId="346" priority="4" operator="notEqual">
      <formula>$E$82</formula>
    </cfRule>
  </conditionalFormatting>
  <conditionalFormatting sqref="Z12:Z44">
    <cfRule type="cellIs" dxfId="345" priority="8" operator="lessThan">
      <formula>0</formula>
    </cfRule>
  </conditionalFormatting>
  <conditionalFormatting sqref="Z49:Z68">
    <cfRule type="cellIs" dxfId="344" priority="5" operator="lessThan">
      <formula>0</formula>
    </cfRule>
  </conditionalFormatting>
  <conditionalFormatting sqref="AA68">
    <cfRule type="cellIs" dxfId="343" priority="1" operator="notEqual">
      <formula>$O$82</formula>
    </cfRule>
  </conditionalFormatting>
  <conditionalFormatting sqref="AB1:AB1048576">
    <cfRule type="containsText" dxfId="342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2" manualBreakCount="12">
    <brk id="6" max="88" man="1"/>
    <brk id="10" max="1048575" man="1"/>
    <brk id="16" max="88" man="1"/>
    <brk id="18" max="1048575" man="1"/>
    <brk id="27" max="88" man="1"/>
    <brk id="29" max="88" man="1"/>
    <brk id="51" max="1048575" man="1"/>
    <brk id="52" max="1048575" man="1"/>
    <brk id="99" max="1048575" man="1"/>
    <brk id="101" max="1048575" man="1"/>
    <brk id="110" max="1048575" man="1"/>
    <brk id="1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4414062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77734375" style="50" customWidth="1"/>
    <col min="19" max="19" width="5.88671875" style="39" customWidth="1"/>
    <col min="20" max="20" width="31.109375" style="39" customWidth="1"/>
    <col min="21" max="21" width="17.77734375" style="206" customWidth="1"/>
    <col min="22" max="27" width="18.88671875" style="39" customWidth="1"/>
    <col min="28" max="28" width="25" style="54" customWidth="1"/>
    <col min="29" max="29" width="8.88671875" style="40"/>
    <col min="30" max="30" width="16" style="39" customWidth="1"/>
    <col min="31" max="31" width="103.21875" style="39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62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11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62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62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77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07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08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11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90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#10'!V12,"OK","Send in Change Order")</f>
        <v>OK</v>
      </c>
      <c r="S12" s="85">
        <v>1</v>
      </c>
      <c r="T12" s="86" t="str">
        <f>'Request #10'!T12</f>
        <v>Land/Site Grading &amp; Improv.</v>
      </c>
      <c r="U12" s="218">
        <f>'Request #10'!U12</f>
        <v>0</v>
      </c>
      <c r="V12" s="87">
        <f>'Request #10'!V12</f>
        <v>0</v>
      </c>
      <c r="W12" s="88">
        <f>SUMIF(F7:F79,1,E7:E79)</f>
        <v>0</v>
      </c>
      <c r="X12" s="88">
        <f>'Request #10'!Y12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#10'!AA12,"OK","Alert,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#10'!V13,"OK","Send in Change Order")</f>
        <v>OK</v>
      </c>
      <c r="S13" s="85">
        <v>2</v>
      </c>
      <c r="T13" s="86" t="str">
        <f>'Request #10'!T13</f>
        <v xml:space="preserve">General Contract </v>
      </c>
      <c r="U13" s="218">
        <f>'Request #10'!U13</f>
        <v>0</v>
      </c>
      <c r="V13" s="87">
        <f>'Request #10'!V13</f>
        <v>0</v>
      </c>
      <c r="W13" s="88">
        <f>SUMIF(F7:F79,2,E7:E79)</f>
        <v>0</v>
      </c>
      <c r="X13" s="88">
        <f>'Request #10'!Y13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#10'!AA13,"OK","Alert,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#10'!V14,"OK","Send in Change Order")</f>
        <v>OK</v>
      </c>
      <c r="S14" s="85">
        <v>3</v>
      </c>
      <c r="T14" s="86" t="str">
        <f>'Request #10'!T14</f>
        <v>Designer Contract</v>
      </c>
      <c r="U14" s="218">
        <f>'Request #10'!U14</f>
        <v>0</v>
      </c>
      <c r="V14" s="87">
        <f>'Request #10'!V14</f>
        <v>0</v>
      </c>
      <c r="W14" s="88">
        <f>SUMIF(F7:F79,3,E7:E79)</f>
        <v>0</v>
      </c>
      <c r="X14" s="88">
        <f>'Request #10'!Y14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#10'!AA14,"OK","Alert,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#10'!V15,"OK","Send in Change Order")</f>
        <v>OK</v>
      </c>
      <c r="S15" s="85">
        <v>4</v>
      </c>
      <c r="T15" s="86" t="str">
        <f>'Request #10'!T15</f>
        <v>Designer Reimbursables</v>
      </c>
      <c r="U15" s="218">
        <f>'Request #10'!U15</f>
        <v>0</v>
      </c>
      <c r="V15" s="87">
        <f>'Request #10'!V15</f>
        <v>0</v>
      </c>
      <c r="W15" s="88">
        <f>SUMIF(F7:F79,4,E7:E79)</f>
        <v>0</v>
      </c>
      <c r="X15" s="88">
        <f>'Request #10'!Y15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#10'!AA15,"OK","Alert,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#10'!V16,"OK","Send in Change Order")</f>
        <v>OK</v>
      </c>
      <c r="S16" s="85">
        <v>5</v>
      </c>
      <c r="T16" s="86" t="str">
        <f>'Request #10'!T16</f>
        <v>Other Contracts</v>
      </c>
      <c r="U16" s="218">
        <f>'Request #10'!U16</f>
        <v>0</v>
      </c>
      <c r="V16" s="87">
        <f>'Request #10'!V16</f>
        <v>0</v>
      </c>
      <c r="W16" s="88">
        <f>SUMIF(F7:F79,5,E7:E79)</f>
        <v>0</v>
      </c>
      <c r="X16" s="88">
        <f>'Request #10'!Y16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#10'!AA16,"OK","Alert,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#10'!V17,"OK","Send in Change Order")</f>
        <v>OK</v>
      </c>
      <c r="S17" s="85">
        <v>6</v>
      </c>
      <c r="T17" s="86" t="str">
        <f>'Request #10'!T17</f>
        <v>Other Contracts</v>
      </c>
      <c r="U17" s="218">
        <f>'Request #10'!U17</f>
        <v>0</v>
      </c>
      <c r="V17" s="87">
        <f>'Request #10'!V17</f>
        <v>0</v>
      </c>
      <c r="W17" s="88">
        <f>SUMIF(F7:F79,6,E7:E79)</f>
        <v>0</v>
      </c>
      <c r="X17" s="88">
        <f>'Request #10'!Y17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#10'!AA17,"OK","Alert,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#10'!V18,"OK","Send in Change Order")</f>
        <v>OK</v>
      </c>
      <c r="S18" s="85">
        <v>7</v>
      </c>
      <c r="T18" s="86" t="str">
        <f>'Request #10'!T18</f>
        <v>Other Contracts</v>
      </c>
      <c r="U18" s="218">
        <f>'Request #10'!U18</f>
        <v>0</v>
      </c>
      <c r="V18" s="87">
        <f>'Request #10'!V18</f>
        <v>0</v>
      </c>
      <c r="W18" s="88">
        <f>SUMIF(F7:F79,7,E7:E79)</f>
        <v>0</v>
      </c>
      <c r="X18" s="88">
        <f>'Request #10'!Y18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#10'!AA18,"OK","Alert,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#10'!V19,"OK","Send in Change Order")</f>
        <v>OK</v>
      </c>
      <c r="S19" s="85">
        <v>8</v>
      </c>
      <c r="T19" s="86" t="str">
        <f>'Request #10'!T19</f>
        <v>Other Contracts</v>
      </c>
      <c r="U19" s="218">
        <f>'Request #10'!U19</f>
        <v>0</v>
      </c>
      <c r="V19" s="87">
        <f>'Request #10'!V19</f>
        <v>0</v>
      </c>
      <c r="W19" s="88">
        <f>SUMIF(F7:F79,8,E7:E79)</f>
        <v>0</v>
      </c>
      <c r="X19" s="88">
        <f>'Request #10'!Y19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#10'!AA19,"OK","Alert,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#10'!V20,"OK","Send in Change Order")</f>
        <v>OK</v>
      </c>
      <c r="S20" s="85">
        <v>9</v>
      </c>
      <c r="T20" s="86" t="str">
        <f>'Request #10'!T20</f>
        <v>Other Contracts</v>
      </c>
      <c r="U20" s="218">
        <f>'Request #10'!U20</f>
        <v>0</v>
      </c>
      <c r="V20" s="87">
        <f>'Request #10'!V20</f>
        <v>0</v>
      </c>
      <c r="W20" s="88">
        <f>SUMIF(F7:F79,9,E7:E79)</f>
        <v>0</v>
      </c>
      <c r="X20" s="88">
        <f>'Request #10'!Y20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#10'!AA20,"OK","Alert,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#10'!V21,"OK","Send in Change Order")</f>
        <v>OK</v>
      </c>
      <c r="S21" s="85">
        <v>10</v>
      </c>
      <c r="T21" s="86" t="str">
        <f>'Request #10'!T21</f>
        <v>Other Contracts</v>
      </c>
      <c r="U21" s="218">
        <f>'Request #10'!U21</f>
        <v>0</v>
      </c>
      <c r="V21" s="87">
        <f>'Request #10'!V21</f>
        <v>0</v>
      </c>
      <c r="W21" s="88">
        <f>SUMIF(F7:F79,10,E7:E79)</f>
        <v>0</v>
      </c>
      <c r="X21" s="88">
        <f>'Request #10'!Y21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#10'!AA21,"OK","Alert,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#10'!V22,"OK","Send in Change Order")</f>
        <v>OK</v>
      </c>
      <c r="S22" s="85">
        <v>11</v>
      </c>
      <c r="T22" s="86" t="str">
        <f>'Request #10'!T22</f>
        <v>Other Contracts</v>
      </c>
      <c r="U22" s="218">
        <f>'Request #10'!U22</f>
        <v>0</v>
      </c>
      <c r="V22" s="87">
        <f>'Request #10'!V22</f>
        <v>0</v>
      </c>
      <c r="W22" s="88">
        <f>SUMIF(F7:F79,11,E7:E79)</f>
        <v>0</v>
      </c>
      <c r="X22" s="88">
        <f>'Request #10'!Y22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#10'!AA22,"OK","Alert,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#10'!V23,"OK","Send in Change Order")</f>
        <v>OK</v>
      </c>
      <c r="S23" s="85">
        <v>12</v>
      </c>
      <c r="T23" s="86" t="str">
        <f>'Request #10'!T23</f>
        <v>Other Contracts</v>
      </c>
      <c r="U23" s="218">
        <f>'Request #10'!U23</f>
        <v>0</v>
      </c>
      <c r="V23" s="87">
        <f>'Request #10'!V23</f>
        <v>0</v>
      </c>
      <c r="W23" s="88">
        <f>SUMIF(F7:F79,12,E7:E79)</f>
        <v>0</v>
      </c>
      <c r="X23" s="88">
        <f>'Request #10'!Y23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#10'!AA23,"OK","Alert,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#10'!V24,"OK","Send in Change Order")</f>
        <v>OK</v>
      </c>
      <c r="S24" s="85">
        <v>13</v>
      </c>
      <c r="T24" s="86" t="str">
        <f>'Request #10'!T24</f>
        <v>Other Contracts</v>
      </c>
      <c r="U24" s="218">
        <f>'Request #10'!U24</f>
        <v>0</v>
      </c>
      <c r="V24" s="87">
        <f>'Request #10'!V24</f>
        <v>0</v>
      </c>
      <c r="W24" s="88">
        <f>SUMIF(F7:F79,13,E7:E79)</f>
        <v>0</v>
      </c>
      <c r="X24" s="88">
        <f>'Request #10'!Y24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#10'!AA24,"OK","Alert,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#10'!V25,"OK","Send in Change Order")</f>
        <v>OK</v>
      </c>
      <c r="S25" s="85">
        <v>14</v>
      </c>
      <c r="T25" s="86" t="str">
        <f>'Request #10'!T25</f>
        <v>Other Contracts</v>
      </c>
      <c r="U25" s="218">
        <f>'Request #10'!U25</f>
        <v>0</v>
      </c>
      <c r="V25" s="87">
        <f>'Request #10'!V25</f>
        <v>0</v>
      </c>
      <c r="W25" s="88">
        <f>SUMIF(F7:F79,14,E7:E79)</f>
        <v>0</v>
      </c>
      <c r="X25" s="88">
        <f>'Request #10'!Y25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#10'!AA25,"OK","Alert,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#10'!V26,"OK","Send in Change Order")</f>
        <v>OK</v>
      </c>
      <c r="S26" s="85">
        <v>15</v>
      </c>
      <c r="T26" s="86" t="str">
        <f>'Request #10'!T26</f>
        <v>Other Contracts</v>
      </c>
      <c r="U26" s="218">
        <f>'Request #10'!U26</f>
        <v>0</v>
      </c>
      <c r="V26" s="87">
        <f>'Request #10'!V26</f>
        <v>0</v>
      </c>
      <c r="W26" s="88">
        <f>SUMIF(F7:F79,15,E7:E79)</f>
        <v>0</v>
      </c>
      <c r="X26" s="88">
        <f>'Request #10'!Y26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#10'!AA26,"OK","Alert,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#10'!V27,"OK","Send in Change Order")</f>
        <v>OK</v>
      </c>
      <c r="S27" s="85">
        <v>16</v>
      </c>
      <c r="T27" s="86" t="str">
        <f>'Request #10'!T27</f>
        <v>Other Contracts</v>
      </c>
      <c r="U27" s="218">
        <f>'Request #10'!U27</f>
        <v>0</v>
      </c>
      <c r="V27" s="87">
        <f>'Request #10'!V27</f>
        <v>0</v>
      </c>
      <c r="W27" s="88">
        <f>SUMIF(F7:F79,16,E7:E79)</f>
        <v>0</v>
      </c>
      <c r="X27" s="88">
        <f>'Request #10'!Y27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#10'!AA27,"OK","Alert,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#10'!V28,"OK","Send in Change Order")</f>
        <v>OK</v>
      </c>
      <c r="S28" s="85">
        <v>17</v>
      </c>
      <c r="T28" s="86" t="str">
        <f>'Request #10'!T28</f>
        <v>Other Contracts</v>
      </c>
      <c r="U28" s="218">
        <f>'Request #10'!U28</f>
        <v>0</v>
      </c>
      <c r="V28" s="87">
        <f>'Request #10'!V28</f>
        <v>0</v>
      </c>
      <c r="W28" s="88">
        <f>SUMIF(F7:F79,17,E7:E79)</f>
        <v>0</v>
      </c>
      <c r="X28" s="88">
        <f>'Request #10'!Y28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#10'!AA28,"OK","Alert,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#10'!V29,"OK","Send in Change Order")</f>
        <v>OK</v>
      </c>
      <c r="S29" s="85">
        <v>18</v>
      </c>
      <c r="T29" s="86" t="str">
        <f>'Request #10'!T29</f>
        <v>Other Contracts</v>
      </c>
      <c r="U29" s="218">
        <f>'Request #10'!U29</f>
        <v>0</v>
      </c>
      <c r="V29" s="87">
        <f>'Request #10'!V29</f>
        <v>0</v>
      </c>
      <c r="W29" s="88">
        <f>SUMIF(F7:F79,18,E7:E79)</f>
        <v>0</v>
      </c>
      <c r="X29" s="88">
        <f>'Request #10'!Y29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#10'!AA29,"OK","Alert,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#10'!V30,"OK","Send in Change Order")</f>
        <v>OK</v>
      </c>
      <c r="S30" s="85">
        <v>19</v>
      </c>
      <c r="T30" s="86" t="str">
        <f>'Request #10'!T30</f>
        <v>Other Contracts</v>
      </c>
      <c r="U30" s="218">
        <f>'Request #10'!U30</f>
        <v>0</v>
      </c>
      <c r="V30" s="87">
        <f>'Request #10'!V30</f>
        <v>0</v>
      </c>
      <c r="W30" s="88">
        <f>SUMIF(F7:F79,19,E7:E79)</f>
        <v>0</v>
      </c>
      <c r="X30" s="88">
        <f>'Request #10'!Y30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#10'!AA30,"OK","Alert,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#10'!V31,"OK","Send in Change Order")</f>
        <v>OK</v>
      </c>
      <c r="S31" s="85">
        <v>20</v>
      </c>
      <c r="T31" s="86" t="str">
        <f>'Request #10'!T31</f>
        <v>Other Contracts</v>
      </c>
      <c r="U31" s="218">
        <f>'Request #10'!U31</f>
        <v>0</v>
      </c>
      <c r="V31" s="87">
        <f>'Request #10'!V31</f>
        <v>0</v>
      </c>
      <c r="W31" s="88">
        <f>SUMIF(F7:F79,20,E7:E79)</f>
        <v>0</v>
      </c>
      <c r="X31" s="88">
        <f>'Request #10'!Y31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#10'!AA31,"OK","Alert,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#10'!V32,"OK","Send in Change Order")</f>
        <v>OK</v>
      </c>
      <c r="S32" s="85">
        <v>21</v>
      </c>
      <c r="T32" s="86" t="str">
        <f>'Request #10'!T32</f>
        <v>Other Contracts</v>
      </c>
      <c r="U32" s="218">
        <f>'Request #10'!U32</f>
        <v>0</v>
      </c>
      <c r="V32" s="87">
        <f>'Request #10'!V32</f>
        <v>0</v>
      </c>
      <c r="W32" s="88">
        <f>SUMIF(F7:F79,21,E7:E79)</f>
        <v>0</v>
      </c>
      <c r="X32" s="88">
        <f>'Request #10'!Y32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#10'!AA32,"OK","Alert,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#10'!V33,"OK","Send in Change Order")</f>
        <v>OK</v>
      </c>
      <c r="S33" s="85">
        <v>22</v>
      </c>
      <c r="T33" s="86" t="str">
        <f>'Request #10'!T33</f>
        <v>Other Contracts</v>
      </c>
      <c r="U33" s="218">
        <f>'Request #10'!U33</f>
        <v>0</v>
      </c>
      <c r="V33" s="87">
        <f>'Request #10'!V33</f>
        <v>0</v>
      </c>
      <c r="W33" s="88">
        <f>SUMIF(F7:F79,22,E7:E79)</f>
        <v>0</v>
      </c>
      <c r="X33" s="88">
        <f>'Request #10'!Y33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#10'!AA33,"OK","Alert,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#10'!V34,"OK","Send in Change Order")</f>
        <v>OK</v>
      </c>
      <c r="S34" s="85">
        <v>23</v>
      </c>
      <c r="T34" s="86" t="str">
        <f>'Request #10'!T34</f>
        <v>Other Contracts</v>
      </c>
      <c r="U34" s="218">
        <f>'Request #10'!U34</f>
        <v>0</v>
      </c>
      <c r="V34" s="87">
        <f>'Request #10'!V34</f>
        <v>0</v>
      </c>
      <c r="W34" s="88">
        <f>SUMIF(F7:F79,23,E7:E79)</f>
        <v>0</v>
      </c>
      <c r="X34" s="88">
        <f>'Request #10'!Y34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#10'!AA34,"OK","Alert,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#10'!V35,"OK","Send in Change Order")</f>
        <v>OK</v>
      </c>
      <c r="S35" s="85">
        <v>24</v>
      </c>
      <c r="T35" s="86" t="str">
        <f>'Request #10'!T35</f>
        <v>Other Contracts</v>
      </c>
      <c r="U35" s="218">
        <f>'Request #10'!U35</f>
        <v>0</v>
      </c>
      <c r="V35" s="87">
        <f>'Request #10'!V35</f>
        <v>0</v>
      </c>
      <c r="W35" s="88">
        <f>SUMIF(F7:F79,24,E7:E79)</f>
        <v>0</v>
      </c>
      <c r="X35" s="88">
        <f>'Request #10'!Y35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#10'!AA35,"OK","Alert,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#10'!V36,"OK","Send in Change Order")</f>
        <v>OK</v>
      </c>
      <c r="S36" s="85">
        <v>25</v>
      </c>
      <c r="T36" s="86" t="str">
        <f>'Request #10'!T36</f>
        <v>Other Contracts</v>
      </c>
      <c r="U36" s="218">
        <f>'Request #10'!U36</f>
        <v>0</v>
      </c>
      <c r="V36" s="87">
        <f>'Request #10'!V36</f>
        <v>0</v>
      </c>
      <c r="W36" s="88">
        <f>SUMIF(F7:F79,25,E7:E79)</f>
        <v>0</v>
      </c>
      <c r="X36" s="88">
        <f>'Request #10'!Y36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#10'!AA36,"OK","Alert,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#10'!V37,"OK","Send in Change Order")</f>
        <v>OK</v>
      </c>
      <c r="S37" s="85">
        <v>26</v>
      </c>
      <c r="T37" s="86" t="str">
        <f>'Request #10'!T37</f>
        <v>Other Fees</v>
      </c>
      <c r="U37" s="218">
        <f>'Request #10'!U37</f>
        <v>0</v>
      </c>
      <c r="V37" s="87">
        <f>'Request #10'!V37</f>
        <v>0</v>
      </c>
      <c r="W37" s="88">
        <f>SUMIF(F7:F79,26,E7:E79)</f>
        <v>0</v>
      </c>
      <c r="X37" s="88">
        <f>'Request #10'!Y37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#10'!AA37,"OK","Alert,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#10'!V38,"OK","Send in Change Order")</f>
        <v>OK</v>
      </c>
      <c r="S38" s="85">
        <v>27</v>
      </c>
      <c r="T38" s="86" t="str">
        <f>'Request #10'!T38</f>
        <v>Other Fees</v>
      </c>
      <c r="U38" s="218">
        <f>'Request #10'!U38</f>
        <v>0</v>
      </c>
      <c r="V38" s="87">
        <f>'Request #10'!V38</f>
        <v>0</v>
      </c>
      <c r="W38" s="88">
        <f>SUMIF(F7:F79,27,E7:E79)</f>
        <v>0</v>
      </c>
      <c r="X38" s="88">
        <f>'Request #10'!Y38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#10'!AA38,"OK","Alert,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#10'!V39,"OK","Send in Change Order")</f>
        <v>OK</v>
      </c>
      <c r="S39" s="85">
        <v>28</v>
      </c>
      <c r="T39" s="86" t="str">
        <f>'Request #10'!T39</f>
        <v>Other Fees</v>
      </c>
      <c r="U39" s="218">
        <f>'Request #10'!U39</f>
        <v>0</v>
      </c>
      <c r="V39" s="87">
        <f>'Request #10'!V39</f>
        <v>0</v>
      </c>
      <c r="W39" s="88">
        <f>SUMIF(F7:F79,28,E7:E79)</f>
        <v>0</v>
      </c>
      <c r="X39" s="88">
        <f>'Request #10'!Y39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#10'!AA39,"OK","Alert,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#10'!V40,"OK","Send in Change Order")</f>
        <v>OK</v>
      </c>
      <c r="S40" s="85">
        <v>29</v>
      </c>
      <c r="T40" s="86" t="str">
        <f>'Request #10'!T40</f>
        <v>Other Fees</v>
      </c>
      <c r="U40" s="218">
        <f>'Request #10'!U40</f>
        <v>0</v>
      </c>
      <c r="V40" s="87">
        <f>'Request #10'!V40</f>
        <v>0</v>
      </c>
      <c r="W40" s="88">
        <f>SUMIF(F7:F79,29,E7:E79)</f>
        <v>0</v>
      </c>
      <c r="X40" s="88">
        <f>'Request #10'!Y40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#10'!AA40,"OK","Alert,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#10'!V41,"OK","Send in Change Order")</f>
        <v>OK</v>
      </c>
      <c r="S41" s="85">
        <v>30</v>
      </c>
      <c r="T41" s="86" t="str">
        <f>'Request #10'!T41</f>
        <v>Other Fees</v>
      </c>
      <c r="U41" s="218">
        <f>'Request #10'!U41</f>
        <v>0</v>
      </c>
      <c r="V41" s="87">
        <f>'Request #10'!V41</f>
        <v>0</v>
      </c>
      <c r="W41" s="88">
        <f>SUMIF(F7:F79,30,E7:E79)</f>
        <v>0</v>
      </c>
      <c r="X41" s="88">
        <f>'Request #10'!Y41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#10'!AA41,"OK","Alert,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#10'!V42,"OK","Send in Change Order")</f>
        <v>OK</v>
      </c>
      <c r="S42" s="85">
        <v>31</v>
      </c>
      <c r="T42" s="86" t="str">
        <f>'Request #10'!T42</f>
        <v>Other Fees</v>
      </c>
      <c r="U42" s="218">
        <f>'Request #10'!U42</f>
        <v>0</v>
      </c>
      <c r="V42" s="87">
        <f>'Request #10'!V42</f>
        <v>0</v>
      </c>
      <c r="W42" s="88">
        <f>SUMIF(F7:F79,31,E7:E79)</f>
        <v>0</v>
      </c>
      <c r="X42" s="88">
        <f>'Request #10'!Y42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#10'!AA42,"OK","Alert,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#10'!V43,"OK","Send in Change Order")</f>
        <v>OK</v>
      </c>
      <c r="S43" s="85">
        <v>32</v>
      </c>
      <c r="T43" s="86" t="str">
        <f>'Request #10'!T43</f>
        <v>Other Fees</v>
      </c>
      <c r="U43" s="218">
        <f>'Request #10'!U43</f>
        <v>0</v>
      </c>
      <c r="V43" s="87">
        <f>'Request #10'!V43</f>
        <v>0</v>
      </c>
      <c r="W43" s="88">
        <f>SUMIF(F7:F79,32,E7:E79)</f>
        <v>0</v>
      </c>
      <c r="X43" s="88">
        <f>'Request #10'!Y43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#10'!AA43,"OK","Alert,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#10'!V44,"OK","Send in Change Order")</f>
        <v>OK</v>
      </c>
      <c r="S44" s="85">
        <v>33</v>
      </c>
      <c r="T44" s="86" t="str">
        <f>'Request #10'!T44</f>
        <v>Other Fees</v>
      </c>
      <c r="U44" s="218">
        <f>'Request #10'!U44</f>
        <v>0</v>
      </c>
      <c r="V44" s="87">
        <f>'Request #10'!V44</f>
        <v>0</v>
      </c>
      <c r="W44" s="88">
        <f>SUMIF(F7:F79,33,E7:E79)</f>
        <v>0</v>
      </c>
      <c r="X44" s="88">
        <f>'Request #10'!Y44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#10'!AA44,"OK","Alert,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#10'!V49,"OK","Send in Change Order")</f>
        <v>OK</v>
      </c>
      <c r="S49" s="85">
        <v>38</v>
      </c>
      <c r="T49" s="86" t="str">
        <f>'Request #10'!T49</f>
        <v>Other Fees</v>
      </c>
      <c r="U49" s="218">
        <f>'Request #10'!U49</f>
        <v>0</v>
      </c>
      <c r="V49" s="87">
        <f>'Request #10'!V49</f>
        <v>0</v>
      </c>
      <c r="W49" s="88">
        <f>SUMIF(F7:F79,38,E7:E79)</f>
        <v>0</v>
      </c>
      <c r="X49" s="88">
        <f>'Request #10'!Y49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#10'!AA49,"OK","Alert,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#10'!V50,"OK","Send in Change Order")</f>
        <v>OK</v>
      </c>
      <c r="S50" s="85">
        <v>39</v>
      </c>
      <c r="T50" s="86" t="str">
        <f>'Request #10'!T50</f>
        <v>Other Fees</v>
      </c>
      <c r="U50" s="218">
        <f>'Request #10'!U50</f>
        <v>0</v>
      </c>
      <c r="V50" s="87">
        <f>'Request #10'!V50</f>
        <v>0</v>
      </c>
      <c r="W50" s="88">
        <f>SUMIF(F7:F79,39,E7:E79)</f>
        <v>0</v>
      </c>
      <c r="X50" s="88">
        <f>'Request #10'!Y50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#10'!AA50,"OK","Alert,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#10'!V51,"OK","Send in Change Order")</f>
        <v>OK</v>
      </c>
      <c r="S51" s="85">
        <v>40</v>
      </c>
      <c r="T51" s="86" t="str">
        <f>'Request #10'!T51</f>
        <v>Other Fees</v>
      </c>
      <c r="U51" s="218">
        <f>'Request #10'!U51</f>
        <v>0</v>
      </c>
      <c r="V51" s="87">
        <f>'Request #10'!V51</f>
        <v>0</v>
      </c>
      <c r="W51" s="88">
        <f>SUMIF(F7:F79,40,E7:E79)</f>
        <v>0</v>
      </c>
      <c r="X51" s="88">
        <f>'Request #10'!Y51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#10'!AA51,"OK","Alert,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#10'!V52,"OK","Send in Change Order")</f>
        <v>OK</v>
      </c>
      <c r="S52" s="85">
        <v>41</v>
      </c>
      <c r="T52" s="86" t="str">
        <f>'Request #10'!T52</f>
        <v>Other Fees</v>
      </c>
      <c r="U52" s="218">
        <f>'Request #10'!U52</f>
        <v>0</v>
      </c>
      <c r="V52" s="87">
        <f>'Request #10'!V52</f>
        <v>0</v>
      </c>
      <c r="W52" s="88">
        <f>SUMIF(F7:F79,41,E7:E79)</f>
        <v>0</v>
      </c>
      <c r="X52" s="88">
        <f>'Request #10'!Y52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#10'!AA52,"OK","Alert,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#10'!V53,"OK","Send in Change Order")</f>
        <v>OK</v>
      </c>
      <c r="S53" s="85">
        <v>42</v>
      </c>
      <c r="T53" s="86" t="str">
        <f>'Request #10'!T53</f>
        <v>Other Fees</v>
      </c>
      <c r="U53" s="218">
        <f>'Request #10'!U53</f>
        <v>0</v>
      </c>
      <c r="V53" s="87">
        <f>'Request #10'!V53</f>
        <v>0</v>
      </c>
      <c r="W53" s="88">
        <f>SUMIF(F7:F79,42,E7:E79)</f>
        <v>0</v>
      </c>
      <c r="X53" s="88">
        <f>'Request #10'!Y53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#10'!AA53,"OK","Alert,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#10'!V54,"OK","Send in Change Order")</f>
        <v>OK</v>
      </c>
      <c r="S54" s="85">
        <v>43</v>
      </c>
      <c r="T54" s="86" t="str">
        <f>'Request #10'!T54</f>
        <v>Other Fees</v>
      </c>
      <c r="U54" s="218">
        <f>'Request #10'!U54</f>
        <v>0</v>
      </c>
      <c r="V54" s="87">
        <f>'Request #10'!V54</f>
        <v>0</v>
      </c>
      <c r="W54" s="88">
        <f>SUMIF(F7:F79,43,E7:E79)</f>
        <v>0</v>
      </c>
      <c r="X54" s="88">
        <f>'Request #10'!Y54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#10'!AA54,"OK","Alert,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#10'!V55,"OK","Send in Change Order")</f>
        <v>OK</v>
      </c>
      <c r="S55" s="85">
        <v>44</v>
      </c>
      <c r="T55" s="86" t="str">
        <f>'Request #10'!T55</f>
        <v>Other Fees</v>
      </c>
      <c r="U55" s="218">
        <f>'Request #10'!U55</f>
        <v>0</v>
      </c>
      <c r="V55" s="87">
        <f>'Request #10'!V55</f>
        <v>0</v>
      </c>
      <c r="W55" s="88">
        <f>SUMIF(F7:F79,44,E7:E79)</f>
        <v>0</v>
      </c>
      <c r="X55" s="88">
        <f>'Request #10'!Y55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#10'!AA55,"OK","Alert,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#10'!V56,"OK","Send in Change Order")</f>
        <v>OK</v>
      </c>
      <c r="S56" s="85">
        <v>45</v>
      </c>
      <c r="T56" s="86" t="str">
        <f>'Request #10'!T56</f>
        <v>Other Fees</v>
      </c>
      <c r="U56" s="218">
        <f>'Request #10'!U56</f>
        <v>0</v>
      </c>
      <c r="V56" s="87">
        <f>'Request #10'!V56</f>
        <v>0</v>
      </c>
      <c r="W56" s="88">
        <f>SUMIF(F7:F79,45,E7:E79)</f>
        <v>0</v>
      </c>
      <c r="X56" s="88">
        <f>'Request #10'!Y56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#10'!AA56,"OK","Alert,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#10'!V57,"OK","Send in Change Order")</f>
        <v>OK</v>
      </c>
      <c r="S57" s="85">
        <v>46</v>
      </c>
      <c r="T57" s="86" t="str">
        <f>'Request #10'!T57</f>
        <v>Other Fees</v>
      </c>
      <c r="U57" s="218">
        <f>'Request #10'!U57</f>
        <v>0</v>
      </c>
      <c r="V57" s="87">
        <f>'Request #10'!V57</f>
        <v>0</v>
      </c>
      <c r="W57" s="88">
        <f>SUMIF(F7:F79,46,E7:E79)</f>
        <v>0</v>
      </c>
      <c r="X57" s="88">
        <f>'Request #10'!Y57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#10'!AA57,"OK","Alert,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#10'!V58,"OK","Send in Change Order")</f>
        <v>OK</v>
      </c>
      <c r="S58" s="85">
        <v>47</v>
      </c>
      <c r="T58" s="86" t="str">
        <f>'Request #10'!T58</f>
        <v>Other Fees</v>
      </c>
      <c r="U58" s="218">
        <f>'Request #10'!U58</f>
        <v>0</v>
      </c>
      <c r="V58" s="87">
        <f>'Request #10'!V58</f>
        <v>0</v>
      </c>
      <c r="W58" s="88">
        <f>SUMIF(F7:F79,47,E7:E79)</f>
        <v>0</v>
      </c>
      <c r="X58" s="88">
        <f>'Request #10'!Y58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#10'!AA58,"OK","Alert,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#10'!V59,"OK","Send in Change Order")</f>
        <v>OK</v>
      </c>
      <c r="S59" s="85">
        <v>48</v>
      </c>
      <c r="T59" s="86" t="str">
        <f>'Request #10'!T59</f>
        <v>Other Fees</v>
      </c>
      <c r="U59" s="218">
        <f>'Request #10'!U59</f>
        <v>0</v>
      </c>
      <c r="V59" s="87">
        <f>'Request #10'!V59</f>
        <v>0</v>
      </c>
      <c r="W59" s="88">
        <f>SUMIF(F7:F79,48,E7:E79)</f>
        <v>0</v>
      </c>
      <c r="X59" s="88">
        <f>'Request #10'!Y59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#10'!AA59,"OK","Alert,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#10'!V60,"OK","Send in Change Order")</f>
        <v>OK</v>
      </c>
      <c r="S60" s="85">
        <v>49</v>
      </c>
      <c r="T60" s="86" t="str">
        <f>'Request #10'!T60</f>
        <v>Other Fees</v>
      </c>
      <c r="U60" s="218">
        <f>'Request #10'!U60</f>
        <v>0</v>
      </c>
      <c r="V60" s="87">
        <f>'Request #10'!V60</f>
        <v>0</v>
      </c>
      <c r="W60" s="88">
        <f>SUMIF(F7:F79,49,E7:E79)</f>
        <v>0</v>
      </c>
      <c r="X60" s="88">
        <f>'Request #10'!Y60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#10'!AA60,"OK","Alert,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#10'!V61,"OK","Send in Change Order")</f>
        <v>OK</v>
      </c>
      <c r="S61" s="85">
        <v>50</v>
      </c>
      <c r="T61" s="86" t="str">
        <f>'Request #10'!T61</f>
        <v>Other Fees</v>
      </c>
      <c r="U61" s="218">
        <f>'Request #10'!U61</f>
        <v>0</v>
      </c>
      <c r="V61" s="87">
        <f>'Request #10'!V61</f>
        <v>0</v>
      </c>
      <c r="W61" s="88">
        <f>SUMIF(F7:F79,50,E7:E79)</f>
        <v>0</v>
      </c>
      <c r="X61" s="88">
        <f>'Request #10'!Y61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#10'!AA61,"OK","Alert,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#10'!V62,"OK","Send in Change Order")</f>
        <v>OK</v>
      </c>
      <c r="S62" s="85">
        <v>51</v>
      </c>
      <c r="T62" s="86" t="str">
        <f>'Request #10'!T62</f>
        <v>Other Fees</v>
      </c>
      <c r="U62" s="218">
        <f>'Request #10'!U62</f>
        <v>0</v>
      </c>
      <c r="V62" s="87">
        <f>'Request #10'!V62</f>
        <v>0</v>
      </c>
      <c r="W62" s="88">
        <f>SUMIF(F7:F79,51,E7:E79)</f>
        <v>0</v>
      </c>
      <c r="X62" s="88">
        <f>'Request #10'!Y62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#10'!AA62,"OK","Alert,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#10'!V63,"OK","Send in Change Order")</f>
        <v>OK</v>
      </c>
      <c r="S63" s="85">
        <v>52</v>
      </c>
      <c r="T63" s="86" t="str">
        <f>'Request #10'!T63</f>
        <v>Worked Performed by Owner</v>
      </c>
      <c r="U63" s="218">
        <f>'Request #10'!U63</f>
        <v>0</v>
      </c>
      <c r="V63" s="87">
        <f>'Request #10'!V63</f>
        <v>0</v>
      </c>
      <c r="W63" s="88">
        <f>SUMIF(F7:F79,52,E7:E79)</f>
        <v>0</v>
      </c>
      <c r="X63" s="88">
        <f>'Request #10'!Y63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#10'!AA63,"OK","Alert,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#10'!V64,"OK","Send in Change Order")</f>
        <v>OK</v>
      </c>
      <c r="S64" s="85">
        <v>53</v>
      </c>
      <c r="T64" s="86" t="str">
        <f>'Request #10'!T64</f>
        <v>Equipment (Major)</v>
      </c>
      <c r="U64" s="218">
        <f>'Request #10'!U64</f>
        <v>0</v>
      </c>
      <c r="V64" s="87">
        <f>'Request #10'!V64</f>
        <v>0</v>
      </c>
      <c r="W64" s="88">
        <f>SUMIF(F7:F79,53,E7:E79)</f>
        <v>0</v>
      </c>
      <c r="X64" s="88">
        <f>'Request #10'!Y64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#10'!AA64,"OK","Alert,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#10'!V65,"OK","Send in Change Order")</f>
        <v>OK</v>
      </c>
      <c r="S65" s="85">
        <v>54</v>
      </c>
      <c r="T65" s="102" t="s">
        <v>90</v>
      </c>
      <c r="U65" s="218">
        <f>'Request #10'!U65</f>
        <v>0</v>
      </c>
      <c r="V65" s="87">
        <f>'Request #10'!V65</f>
        <v>0</v>
      </c>
      <c r="W65" s="104"/>
      <c r="X65" s="88">
        <f>'Request #10'!Y65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#10'!AA65,"OK","Alert,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#10'!V66,"OK","Send in Change Order")</f>
        <v>OK</v>
      </c>
      <c r="S66" s="85">
        <v>55</v>
      </c>
      <c r="T66" s="86"/>
      <c r="U66" s="218">
        <f>'Request #10'!AA79</f>
        <v>0</v>
      </c>
      <c r="V66" s="87">
        <f>'Request #10'!V66</f>
        <v>0</v>
      </c>
      <c r="W66" s="88">
        <f>SUMIF(F7:F79,55,E7:E79)</f>
        <v>0</v>
      </c>
      <c r="X66" s="88">
        <f>'Request #10'!Y66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#10'!AA66,"OK","Alert,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#10'!V67,"OK","Send in Change Order")</f>
        <v>OK</v>
      </c>
      <c r="S67" s="85">
        <v>56</v>
      </c>
      <c r="T67" s="79"/>
      <c r="U67" s="218">
        <f>'Request #10'!U67</f>
        <v>0</v>
      </c>
      <c r="V67" s="87">
        <f>'Request #10'!V67</f>
        <v>0</v>
      </c>
      <c r="W67" s="88">
        <f>SUMIF(F7:F79,56,E7:E79)</f>
        <v>0</v>
      </c>
      <c r="X67" s="88">
        <f>'Request #10'!Y67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#10'!AA67,"OK","Alert,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#10'!V68,"OK","Send in Change Order")</f>
        <v>OK</v>
      </c>
      <c r="S68" s="316" t="s">
        <v>60</v>
      </c>
      <c r="T68" s="317"/>
      <c r="U68" s="166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#10'!AA68,"OK","Alert,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09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167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10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11" t="e">
        <f>V72/V68</f>
        <v>#DIV/0!</v>
      </c>
      <c r="V72" s="88">
        <f>V68-V74-V73</f>
        <v>0</v>
      </c>
      <c r="W72" s="87">
        <v>0</v>
      </c>
      <c r="X72" s="88">
        <f>'Request #10'!Y72</f>
        <v>0</v>
      </c>
      <c r="Y72" s="88">
        <f t="shared" ref="Y72:Y73" si="8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#10'!V73,"OK","Send in Change Order")</f>
        <v>OK</v>
      </c>
      <c r="S73" s="86" t="s">
        <v>95</v>
      </c>
      <c r="T73" s="114"/>
      <c r="U73" s="211" t="e">
        <f>V73/V68</f>
        <v>#DIV/0!</v>
      </c>
      <c r="V73" s="87">
        <f>'Request #10'!V73</f>
        <v>0</v>
      </c>
      <c r="W73" s="87">
        <v>0</v>
      </c>
      <c r="X73" s="88">
        <f>'Request #10'!Y73</f>
        <v>0</v>
      </c>
      <c r="Y73" s="88">
        <f t="shared" si="8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#10'!V74,"OK","Send in Change Order")</f>
        <v>OK</v>
      </c>
      <c r="S74" s="120" t="s">
        <v>96</v>
      </c>
      <c r="T74" s="121"/>
      <c r="U74" s="211" t="e">
        <f>V74/V68</f>
        <v>#DIV/0!</v>
      </c>
      <c r="V74" s="87">
        <f>'Request #10'!V74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77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12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13"/>
      <c r="V77" s="88">
        <f>V74</f>
        <v>0</v>
      </c>
      <c r="W77" s="313" t="s">
        <v>102</v>
      </c>
      <c r="X77" s="132"/>
      <c r="Y77" s="133" t="s">
        <v>103</v>
      </c>
      <c r="Z77" s="114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13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14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77"/>
      <c r="V80" s="55"/>
      <c r="W80" s="55"/>
      <c r="X80" s="138"/>
      <c r="Y80" s="45" t="s">
        <v>108</v>
      </c>
      <c r="Z80" s="43"/>
      <c r="AA80" s="88">
        <f>X72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11</v>
      </c>
      <c r="V87" s="55"/>
      <c r="W87" s="55"/>
      <c r="X87" s="138"/>
      <c r="Y87" s="45" t="s">
        <v>108</v>
      </c>
      <c r="Z87" s="43"/>
      <c r="AA87" s="88">
        <f>'Request #10'!AA86</f>
        <v>0</v>
      </c>
      <c r="AB87" s="110"/>
    </row>
    <row r="88" spans="1:28" ht="30" customHeight="1" thickBot="1" x14ac:dyDescent="0.35">
      <c r="S88" s="55"/>
      <c r="T88" s="55"/>
      <c r="U88" s="77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77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77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77"/>
      <c r="V91" s="55"/>
      <c r="W91" s="55"/>
      <c r="X91" s="55"/>
    </row>
    <row r="92" spans="1:28" ht="30" customHeight="1" x14ac:dyDescent="0.3">
      <c r="S92" s="55"/>
      <c r="T92" s="55"/>
      <c r="U92" s="77"/>
      <c r="V92" s="55"/>
      <c r="W92" s="55"/>
      <c r="X92" s="55"/>
    </row>
    <row r="93" spans="1:28" ht="30" customHeight="1" x14ac:dyDescent="0.3">
      <c r="S93" s="55"/>
      <c r="T93" s="55"/>
      <c r="U93" s="77"/>
      <c r="V93" s="55"/>
      <c r="W93" s="55"/>
      <c r="X93" s="55"/>
    </row>
    <row r="94" spans="1:28" ht="30" customHeight="1" x14ac:dyDescent="0.3">
      <c r="S94" s="55"/>
      <c r="T94" s="55"/>
      <c r="U94" s="77"/>
      <c r="V94" s="55"/>
      <c r="W94" s="55"/>
      <c r="X94" s="55"/>
    </row>
    <row r="95" spans="1:28" ht="30" customHeight="1" x14ac:dyDescent="0.3">
      <c r="S95" s="55"/>
      <c r="T95" s="55"/>
      <c r="U95" s="77"/>
      <c r="V95" s="55"/>
      <c r="W95" s="55"/>
      <c r="X95" s="55"/>
    </row>
    <row r="96" spans="1:28" ht="30" customHeight="1" x14ac:dyDescent="0.3">
      <c r="S96" s="55"/>
      <c r="T96" s="55"/>
      <c r="U96" s="77"/>
      <c r="V96" s="55"/>
      <c r="W96" s="55"/>
      <c r="X96" s="55"/>
    </row>
    <row r="97" spans="15:24" ht="30" customHeight="1" x14ac:dyDescent="0.3">
      <c r="S97" s="55"/>
      <c r="T97" s="55"/>
      <c r="U97" s="77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6UDBHzKESyDnNgViSaW3VeADYp+TvF41MYko3YQWWHH88B2FEW6wsnn9XzIaZTWv83nGHByvd09+/5toTX7wKg==" saltValue="fKD+m6ZoTLRHr4RtbIIQXg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341" priority="10" operator="containsText" text="Change">
      <formula>NOT(ISERROR(SEARCH("Change",R1)))</formula>
    </cfRule>
  </conditionalFormatting>
  <conditionalFormatting sqref="R45:R48">
    <cfRule type="cellIs" dxfId="340" priority="7" operator="equal">
      <formula>"Send in Change Order"</formula>
    </cfRule>
  </conditionalFormatting>
  <conditionalFormatting sqref="W68">
    <cfRule type="cellIs" dxfId="339" priority="2" operator="notEqual">
      <formula>$E$82</formula>
    </cfRule>
    <cfRule type="cellIs" dxfId="338" priority="3" operator="greaterThan">
      <formula>$E$82</formula>
    </cfRule>
    <cfRule type="cellIs" dxfId="337" priority="4" operator="notEqual">
      <formula>$E$82</formula>
    </cfRule>
  </conditionalFormatting>
  <conditionalFormatting sqref="Z12:Z44">
    <cfRule type="cellIs" dxfId="336" priority="8" operator="lessThan">
      <formula>0</formula>
    </cfRule>
  </conditionalFormatting>
  <conditionalFormatting sqref="Z49:Z68">
    <cfRule type="cellIs" dxfId="335" priority="5" operator="lessThan">
      <formula>0</formula>
    </cfRule>
  </conditionalFormatting>
  <conditionalFormatting sqref="AA68">
    <cfRule type="cellIs" dxfId="334" priority="1" operator="notEqual">
      <formula>$O$82</formula>
    </cfRule>
  </conditionalFormatting>
  <conditionalFormatting sqref="AB1:AB1048576">
    <cfRule type="containsText" dxfId="333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1" manualBreakCount="11">
    <brk id="6" max="89" man="1"/>
    <brk id="10" max="1048575" man="1"/>
    <brk id="16" max="89" man="1"/>
    <brk id="18" max="1048575" man="1"/>
    <brk id="27" max="89" man="1"/>
    <brk id="29" max="1048575" man="1"/>
    <brk id="52" max="1048575" man="1"/>
    <brk id="58" max="1048575" man="1"/>
    <brk id="101" max="1048575" man="1"/>
    <brk id="110" max="1048575" man="1"/>
    <brk id="1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35"/>
  <sheetViews>
    <sheetView view="pageBreakPreview" zoomScale="60" zoomScaleNormal="100" workbookViewId="0">
      <selection activeCell="G1" sqref="G1"/>
    </sheetView>
  </sheetViews>
  <sheetFormatPr defaultColWidth="19.6640625" defaultRowHeight="30" customHeight="1" x14ac:dyDescent="0.3"/>
  <cols>
    <col min="1" max="3" width="19.6640625" style="39"/>
    <col min="4" max="4" width="45.77734375" style="39" customWidth="1"/>
    <col min="5" max="6" width="19.6640625" style="39"/>
    <col min="7" max="7" width="9.77734375" style="92" customWidth="1"/>
    <col min="8" max="8" width="39.77734375" style="194" customWidth="1"/>
    <col min="9" max="9" width="27" style="244" customWidth="1"/>
    <col min="10" max="10" width="10.33203125" style="40" customWidth="1"/>
    <col min="11" max="11" width="19.6640625" style="39"/>
    <col min="12" max="12" width="20" style="39" customWidth="1"/>
    <col min="13" max="13" width="19.6640625" style="39"/>
    <col min="14" max="14" width="45.77734375" style="39" customWidth="1"/>
    <col min="15" max="16" width="19.6640625" style="39"/>
    <col min="17" max="17" width="11.109375" style="40" customWidth="1"/>
    <col min="18" max="18" width="29.44140625" style="50" customWidth="1"/>
    <col min="19" max="19" width="6.5546875" style="39" customWidth="1"/>
    <col min="20" max="20" width="31.5546875" style="39" customWidth="1"/>
    <col min="21" max="21" width="19.6640625" style="219"/>
    <col min="22" max="27" width="18.88671875" style="39" customWidth="1"/>
    <col min="28" max="28" width="25.77734375" style="54" customWidth="1"/>
    <col min="29" max="29" width="19.6640625" style="40"/>
    <col min="30" max="30" width="16" style="39" customWidth="1"/>
    <col min="31" max="31" width="103.21875" style="39" customWidth="1"/>
    <col min="32" max="32" width="21.88671875" style="39" customWidth="1"/>
    <col min="33" max="33" width="20.44140625" style="39" customWidth="1"/>
    <col min="34" max="16384" width="19.664062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220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12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220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220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221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22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23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12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218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#11'!V12,"OK","Send in Change Order")</f>
        <v>OK</v>
      </c>
      <c r="S12" s="85">
        <v>1</v>
      </c>
      <c r="T12" s="86" t="str">
        <f>'Request #11'!T12</f>
        <v>Land/Site Grading &amp; Improv.</v>
      </c>
      <c r="U12" s="218">
        <f>'Request #11'!U12</f>
        <v>0</v>
      </c>
      <c r="V12" s="87">
        <f>'Request #11'!V12</f>
        <v>0</v>
      </c>
      <c r="W12" s="88">
        <f>SUMIF(F7:F79,1,E7:E79)</f>
        <v>0</v>
      </c>
      <c r="X12" s="88">
        <f>'Request #11'!Y12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#11'!AA12,"OK","Alert,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#11'!V13,"OK","Send in Change Order")</f>
        <v>OK</v>
      </c>
      <c r="S13" s="85">
        <v>2</v>
      </c>
      <c r="T13" s="86" t="str">
        <f>'Request #11'!T13</f>
        <v xml:space="preserve">General Contract </v>
      </c>
      <c r="U13" s="218">
        <f>'Request #11'!U13</f>
        <v>0</v>
      </c>
      <c r="V13" s="87">
        <f>'Request #11'!V13</f>
        <v>0</v>
      </c>
      <c r="W13" s="88">
        <f>SUMIF(F7:F79,2,E7:E79)</f>
        <v>0</v>
      </c>
      <c r="X13" s="88">
        <f>'Request #11'!Y13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#11'!AA13,"OK","Alert,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#11'!V14,"OK","Send in Change Order")</f>
        <v>OK</v>
      </c>
      <c r="S14" s="85">
        <v>3</v>
      </c>
      <c r="T14" s="86" t="str">
        <f>'Request #11'!T14</f>
        <v>Designer Contract</v>
      </c>
      <c r="U14" s="218">
        <f>'Request #11'!U14</f>
        <v>0</v>
      </c>
      <c r="V14" s="87">
        <f>'Request #11'!V14</f>
        <v>0</v>
      </c>
      <c r="W14" s="88">
        <f>SUMIF(F7:F79,3,E7:E79)</f>
        <v>0</v>
      </c>
      <c r="X14" s="88">
        <f>'Request #11'!Y14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#11'!AA14,"OK","Alert,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#11'!V15,"OK","Send in Change Order")</f>
        <v>OK</v>
      </c>
      <c r="S15" s="85">
        <v>4</v>
      </c>
      <c r="T15" s="86" t="str">
        <f>'Request #11'!T15</f>
        <v>Designer Reimbursables</v>
      </c>
      <c r="U15" s="218">
        <f>'Request #11'!U15</f>
        <v>0</v>
      </c>
      <c r="V15" s="87">
        <f>'Request #11'!V15</f>
        <v>0</v>
      </c>
      <c r="W15" s="88">
        <f>SUMIF(F7:F79,4,E7:E79)</f>
        <v>0</v>
      </c>
      <c r="X15" s="88">
        <f>'Request #11'!Y15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#11'!AA15,"OK","Alert,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#11'!V16,"OK","Send in Change Order")</f>
        <v>OK</v>
      </c>
      <c r="S16" s="85">
        <v>5</v>
      </c>
      <c r="T16" s="86" t="str">
        <f>'Request #11'!T16</f>
        <v>Other Contracts</v>
      </c>
      <c r="U16" s="218">
        <f>'Request #11'!U16</f>
        <v>0</v>
      </c>
      <c r="V16" s="87">
        <f>'Request #11'!V16</f>
        <v>0</v>
      </c>
      <c r="W16" s="88">
        <f>SUMIF(F7:F79,5,E7:E79)</f>
        <v>0</v>
      </c>
      <c r="X16" s="88">
        <f>'Request #11'!Y16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#11'!AA16,"OK","Alert,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#11'!V17,"OK","Send in Change Order")</f>
        <v>OK</v>
      </c>
      <c r="S17" s="85">
        <v>6</v>
      </c>
      <c r="T17" s="86" t="str">
        <f>'Request #11'!T17</f>
        <v>Other Contracts</v>
      </c>
      <c r="U17" s="218">
        <f>'Request #11'!U17</f>
        <v>0</v>
      </c>
      <c r="V17" s="87">
        <f>'Request #11'!V17</f>
        <v>0</v>
      </c>
      <c r="W17" s="88">
        <f>SUMIF(F7:F79,6,E7:E79)</f>
        <v>0</v>
      </c>
      <c r="X17" s="88">
        <f>'Request #11'!Y17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#11'!AA17,"OK","Alert,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#11'!V18,"OK","Send in Change Order")</f>
        <v>OK</v>
      </c>
      <c r="S18" s="85">
        <v>7</v>
      </c>
      <c r="T18" s="86" t="str">
        <f>'Request #11'!T18</f>
        <v>Other Contracts</v>
      </c>
      <c r="U18" s="218">
        <f>'Request #11'!U18</f>
        <v>0</v>
      </c>
      <c r="V18" s="87">
        <f>'Request #11'!V18</f>
        <v>0</v>
      </c>
      <c r="W18" s="88">
        <f>SUMIF(F7:F79,7,E7:E79)</f>
        <v>0</v>
      </c>
      <c r="X18" s="88">
        <f>'Request #11'!Y18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#11'!AA18,"OK","Alert,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#11'!V19,"OK","Send in Change Order")</f>
        <v>OK</v>
      </c>
      <c r="S19" s="85">
        <v>8</v>
      </c>
      <c r="T19" s="86" t="str">
        <f>'Request #11'!T19</f>
        <v>Other Contracts</v>
      </c>
      <c r="U19" s="218">
        <f>'Request #11'!U19</f>
        <v>0</v>
      </c>
      <c r="V19" s="87">
        <f>'Request #11'!V19</f>
        <v>0</v>
      </c>
      <c r="W19" s="88">
        <f>SUMIF(F7:F79,8,E7:E79)</f>
        <v>0</v>
      </c>
      <c r="X19" s="88">
        <f>'Request #11'!Y19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#11'!AA19,"OK","Alert,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#11'!V20,"OK","Send in Change Order")</f>
        <v>OK</v>
      </c>
      <c r="S20" s="85">
        <v>9</v>
      </c>
      <c r="T20" s="86" t="str">
        <f>'Request #11'!T20</f>
        <v>Other Contracts</v>
      </c>
      <c r="U20" s="218">
        <f>'Request #11'!U20</f>
        <v>0</v>
      </c>
      <c r="V20" s="87">
        <f>'Request #11'!V20</f>
        <v>0</v>
      </c>
      <c r="W20" s="88">
        <f>SUMIF(F7:F79,9,E7:E79)</f>
        <v>0</v>
      </c>
      <c r="X20" s="88">
        <f>'Request #11'!Y20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#11'!AA20,"OK","Alert,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#11'!V21,"OK","Send in Change Order")</f>
        <v>OK</v>
      </c>
      <c r="S21" s="85">
        <v>10</v>
      </c>
      <c r="T21" s="86" t="str">
        <f>'Request #11'!T21</f>
        <v>Other Contracts</v>
      </c>
      <c r="U21" s="218">
        <f>'Request #11'!U21</f>
        <v>0</v>
      </c>
      <c r="V21" s="87">
        <f>'Request #11'!V21</f>
        <v>0</v>
      </c>
      <c r="W21" s="88">
        <f>SUMIF(F7:F79,10,E7:E79)</f>
        <v>0</v>
      </c>
      <c r="X21" s="88">
        <f>'Request #11'!Y21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#11'!AA21,"OK","Alert,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#11'!V22,"OK","Send in Change Order")</f>
        <v>OK</v>
      </c>
      <c r="S22" s="85">
        <v>11</v>
      </c>
      <c r="T22" s="86" t="str">
        <f>'Request #11'!T22</f>
        <v>Other Contracts</v>
      </c>
      <c r="U22" s="218">
        <f>'Request #11'!U22</f>
        <v>0</v>
      </c>
      <c r="V22" s="87">
        <f>'Request #11'!V22</f>
        <v>0</v>
      </c>
      <c r="W22" s="88">
        <f>SUMIF(F7:F79,11,E7:E79)</f>
        <v>0</v>
      </c>
      <c r="X22" s="88">
        <f>'Request #11'!Y22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#11'!AA22,"OK","Alert,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#11'!V23,"OK","Send in Change Order")</f>
        <v>OK</v>
      </c>
      <c r="S23" s="85">
        <v>12</v>
      </c>
      <c r="T23" s="86" t="str">
        <f>'Request #11'!T23</f>
        <v>Other Contracts</v>
      </c>
      <c r="U23" s="218">
        <f>'Request #11'!U23</f>
        <v>0</v>
      </c>
      <c r="V23" s="87">
        <f>'Request #11'!V23</f>
        <v>0</v>
      </c>
      <c r="W23" s="88">
        <f>SUMIF(F7:F79,12,E7:E79)</f>
        <v>0</v>
      </c>
      <c r="X23" s="88">
        <f>'Request #11'!Y23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#11'!AA23,"OK","Alert,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#11'!V24,"OK","Send in Change Order")</f>
        <v>OK</v>
      </c>
      <c r="S24" s="85">
        <v>13</v>
      </c>
      <c r="T24" s="86" t="str">
        <f>'Request #11'!T24</f>
        <v>Other Contracts</v>
      </c>
      <c r="U24" s="218">
        <f>'Request #11'!U24</f>
        <v>0</v>
      </c>
      <c r="V24" s="87">
        <f>'Request #11'!V24</f>
        <v>0</v>
      </c>
      <c r="W24" s="88">
        <f>SUMIF(F7:F79,13,E7:E79)</f>
        <v>0</v>
      </c>
      <c r="X24" s="88">
        <f>'Request #11'!Y24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#11'!AA24,"OK","Alert,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#11'!V25,"OK","Send in Change Order")</f>
        <v>OK</v>
      </c>
      <c r="S25" s="85">
        <v>14</v>
      </c>
      <c r="T25" s="86" t="str">
        <f>'Request #11'!T25</f>
        <v>Other Contracts</v>
      </c>
      <c r="U25" s="218">
        <f>'Request #11'!U25</f>
        <v>0</v>
      </c>
      <c r="V25" s="87">
        <f>'Request #11'!V25</f>
        <v>0</v>
      </c>
      <c r="W25" s="88">
        <f>SUMIF(F7:F79,14,E7:E79)</f>
        <v>0</v>
      </c>
      <c r="X25" s="88">
        <f>'Request #11'!Y25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#11'!AA25,"OK","Alert,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#11'!V26,"OK","Send in Change Order")</f>
        <v>OK</v>
      </c>
      <c r="S26" s="85">
        <v>15</v>
      </c>
      <c r="T26" s="86" t="str">
        <f>'Request #11'!T26</f>
        <v>Other Contracts</v>
      </c>
      <c r="U26" s="218">
        <f>'Request #11'!U26</f>
        <v>0</v>
      </c>
      <c r="V26" s="87">
        <f>'Request #11'!V26</f>
        <v>0</v>
      </c>
      <c r="W26" s="88">
        <f>SUMIF(F7:F79,15,E7:E79)</f>
        <v>0</v>
      </c>
      <c r="X26" s="88">
        <f>'Request #11'!Y26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#11'!AA26,"OK","Alert,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#11'!V27,"OK","Send in Change Order")</f>
        <v>OK</v>
      </c>
      <c r="S27" s="85">
        <v>16</v>
      </c>
      <c r="T27" s="86" t="str">
        <f>'Request #11'!T27</f>
        <v>Other Contracts</v>
      </c>
      <c r="U27" s="218">
        <f>'Request #11'!U27</f>
        <v>0</v>
      </c>
      <c r="V27" s="87">
        <f>'Request #11'!V27</f>
        <v>0</v>
      </c>
      <c r="W27" s="88">
        <f>SUMIF(F7:F79,16,E7:E79)</f>
        <v>0</v>
      </c>
      <c r="X27" s="88">
        <f>'Request #11'!Y27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#11'!AA27,"OK","Alert,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#11'!V28,"OK","Send in Change Order")</f>
        <v>OK</v>
      </c>
      <c r="S28" s="85">
        <v>17</v>
      </c>
      <c r="T28" s="86" t="str">
        <f>'Request #11'!T28</f>
        <v>Other Contracts</v>
      </c>
      <c r="U28" s="218">
        <f>'Request #11'!U28</f>
        <v>0</v>
      </c>
      <c r="V28" s="87">
        <f>'Request #11'!V28</f>
        <v>0</v>
      </c>
      <c r="W28" s="88">
        <f>SUMIF(F7:F79,17,E7:E79)</f>
        <v>0</v>
      </c>
      <c r="X28" s="88">
        <f>'Request #11'!Y28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#11'!AA28,"OK","Alert,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#11'!V29,"OK","Send in Change Order")</f>
        <v>OK</v>
      </c>
      <c r="S29" s="85">
        <v>18</v>
      </c>
      <c r="T29" s="86" t="str">
        <f>'Request #11'!T29</f>
        <v>Other Contracts</v>
      </c>
      <c r="U29" s="218">
        <f>'Request #11'!U29</f>
        <v>0</v>
      </c>
      <c r="V29" s="87">
        <f>'Request #11'!V29</f>
        <v>0</v>
      </c>
      <c r="W29" s="88">
        <f>SUMIF(F7:F79,18,E7:E79)</f>
        <v>0</v>
      </c>
      <c r="X29" s="88">
        <f>'Request #11'!Y29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#11'!AA29,"OK","Alert,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#11'!V30,"OK","Send in Change Order")</f>
        <v>OK</v>
      </c>
      <c r="S30" s="85">
        <v>19</v>
      </c>
      <c r="T30" s="86" t="str">
        <f>'Request #11'!T30</f>
        <v>Other Contracts</v>
      </c>
      <c r="U30" s="218">
        <f>'Request #11'!U30</f>
        <v>0</v>
      </c>
      <c r="V30" s="87">
        <f>'Request #11'!V30</f>
        <v>0</v>
      </c>
      <c r="W30" s="88">
        <f>SUMIF(F7:F79,19,E7:E79)</f>
        <v>0</v>
      </c>
      <c r="X30" s="88">
        <f>'Request #11'!Y30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#11'!AA30,"OK","Alert,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#11'!V31,"OK","Send in Change Order")</f>
        <v>OK</v>
      </c>
      <c r="S31" s="85">
        <v>20</v>
      </c>
      <c r="T31" s="86" t="str">
        <f>'Request #11'!T31</f>
        <v>Other Contracts</v>
      </c>
      <c r="U31" s="218">
        <f>'Request #11'!U31</f>
        <v>0</v>
      </c>
      <c r="V31" s="87">
        <f>'Request #11'!V31</f>
        <v>0</v>
      </c>
      <c r="W31" s="88">
        <f>SUMIF(F7:F79,20,E7:E79)</f>
        <v>0</v>
      </c>
      <c r="X31" s="88">
        <f>'Request #11'!Y31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#11'!AA31,"OK","Alert,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#11'!V32,"OK","Send in Change Order")</f>
        <v>OK</v>
      </c>
      <c r="S32" s="85">
        <v>21</v>
      </c>
      <c r="T32" s="86" t="str">
        <f>'Request #11'!T32</f>
        <v>Other Contracts</v>
      </c>
      <c r="U32" s="218">
        <f>'Request #11'!U32</f>
        <v>0</v>
      </c>
      <c r="V32" s="87">
        <f>'Request #11'!V32</f>
        <v>0</v>
      </c>
      <c r="W32" s="88">
        <f>SUMIF(F7:F79,21,E7:E79)</f>
        <v>0</v>
      </c>
      <c r="X32" s="88">
        <f>'Request #11'!Y32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#11'!AA32,"OK","Alert,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#11'!V33,"OK","Send in Change Order")</f>
        <v>OK</v>
      </c>
      <c r="S33" s="85">
        <v>22</v>
      </c>
      <c r="T33" s="86" t="str">
        <f>'Request #11'!T33</f>
        <v>Other Contracts</v>
      </c>
      <c r="U33" s="218">
        <f>'Request #11'!U33</f>
        <v>0</v>
      </c>
      <c r="V33" s="87">
        <f>'Request #11'!V33</f>
        <v>0</v>
      </c>
      <c r="W33" s="88">
        <f>SUMIF(F7:F79,22,E7:E79)</f>
        <v>0</v>
      </c>
      <c r="X33" s="88">
        <f>'Request #11'!Y33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#11'!AA33,"OK","Alert,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#11'!V34,"OK","Send in Change Order")</f>
        <v>OK</v>
      </c>
      <c r="S34" s="85">
        <v>23</v>
      </c>
      <c r="T34" s="86" t="str">
        <f>'Request #11'!T34</f>
        <v>Other Contracts</v>
      </c>
      <c r="U34" s="218">
        <f>'Request #11'!U34</f>
        <v>0</v>
      </c>
      <c r="V34" s="87">
        <f>'Request #11'!V34</f>
        <v>0</v>
      </c>
      <c r="W34" s="88">
        <f>SUMIF(F7:F79,23,E7:E79)</f>
        <v>0</v>
      </c>
      <c r="X34" s="88">
        <f>'Request #11'!Y34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#11'!AA34,"OK","Alert,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#11'!V35,"OK","Send in Change Order")</f>
        <v>OK</v>
      </c>
      <c r="S35" s="85">
        <v>24</v>
      </c>
      <c r="T35" s="86" t="str">
        <f>'Request #11'!T35</f>
        <v>Other Contracts</v>
      </c>
      <c r="U35" s="218">
        <f>'Request #11'!U35</f>
        <v>0</v>
      </c>
      <c r="V35" s="87">
        <f>'Request #11'!V35</f>
        <v>0</v>
      </c>
      <c r="W35" s="88">
        <f>SUMIF(F7:F79,24,E7:E79)</f>
        <v>0</v>
      </c>
      <c r="X35" s="88">
        <f>'Request #11'!Y35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#11'!AA35,"OK","Alert,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#11'!V36,"OK","Send in Change Order")</f>
        <v>OK</v>
      </c>
      <c r="S36" s="85">
        <v>25</v>
      </c>
      <c r="T36" s="86" t="str">
        <f>'Request #11'!T36</f>
        <v>Other Contracts</v>
      </c>
      <c r="U36" s="218">
        <f>'Request #11'!U36</f>
        <v>0</v>
      </c>
      <c r="V36" s="87">
        <f>'Request #11'!V36</f>
        <v>0</v>
      </c>
      <c r="W36" s="88">
        <f>SUMIF(F7:F79,25,E7:E79)</f>
        <v>0</v>
      </c>
      <c r="X36" s="88">
        <f>'Request #11'!Y36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#11'!AA36,"OK","Alert,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#11'!V37,"OK","Send in Change Order")</f>
        <v>OK</v>
      </c>
      <c r="S37" s="85">
        <v>26</v>
      </c>
      <c r="T37" s="86" t="str">
        <f>'Request #11'!T37</f>
        <v>Other Fees</v>
      </c>
      <c r="U37" s="218">
        <f>'Request #11'!U37</f>
        <v>0</v>
      </c>
      <c r="V37" s="87">
        <f>'Request #11'!V37</f>
        <v>0</v>
      </c>
      <c r="W37" s="88">
        <f>SUMIF(F7:F79,26,E7:E79)</f>
        <v>0</v>
      </c>
      <c r="X37" s="88">
        <f>'Request #11'!Y37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#11'!AA37,"OK","Alert,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#11'!V38,"OK","Send in Change Order")</f>
        <v>OK</v>
      </c>
      <c r="S38" s="85">
        <v>27</v>
      </c>
      <c r="T38" s="86" t="str">
        <f>'Request #11'!T38</f>
        <v>Other Fees</v>
      </c>
      <c r="U38" s="218">
        <f>'Request #11'!U38</f>
        <v>0</v>
      </c>
      <c r="V38" s="87">
        <f>'Request #11'!V38</f>
        <v>0</v>
      </c>
      <c r="W38" s="88">
        <f>SUMIF(F7:F79,27,E7:E79)</f>
        <v>0</v>
      </c>
      <c r="X38" s="88">
        <f>'Request #11'!Y38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#11'!AA38,"OK","Alert,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#11'!V39,"OK","Send in Change Order")</f>
        <v>OK</v>
      </c>
      <c r="S39" s="85">
        <v>28</v>
      </c>
      <c r="T39" s="86" t="str">
        <f>'Request #11'!T39</f>
        <v>Other Fees</v>
      </c>
      <c r="U39" s="218">
        <f>'Request #11'!U39</f>
        <v>0</v>
      </c>
      <c r="V39" s="87">
        <f>'Request #11'!V39</f>
        <v>0</v>
      </c>
      <c r="W39" s="88">
        <f>SUMIF(F7:F79,28,E7:E79)</f>
        <v>0</v>
      </c>
      <c r="X39" s="88">
        <f>'Request #11'!Y39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#11'!AA39,"OK","Alert,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#11'!V40,"OK","Send in Change Order")</f>
        <v>OK</v>
      </c>
      <c r="S40" s="85">
        <v>29</v>
      </c>
      <c r="T40" s="86" t="str">
        <f>'Request #11'!T40</f>
        <v>Other Fees</v>
      </c>
      <c r="U40" s="218">
        <f>'Request #11'!U40</f>
        <v>0</v>
      </c>
      <c r="V40" s="87">
        <f>'Request #11'!V40</f>
        <v>0</v>
      </c>
      <c r="W40" s="88">
        <f>SUMIF(F7:F79,29,E7:E79)</f>
        <v>0</v>
      </c>
      <c r="X40" s="88">
        <f>'Request #11'!Y40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#11'!AA40,"OK","Alert,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#11'!V41,"OK","Send in Change Order")</f>
        <v>OK</v>
      </c>
      <c r="S41" s="85">
        <v>30</v>
      </c>
      <c r="T41" s="86" t="str">
        <f>'Request #11'!T41</f>
        <v>Other Fees</v>
      </c>
      <c r="U41" s="218">
        <f>'Request #11'!U41</f>
        <v>0</v>
      </c>
      <c r="V41" s="87">
        <f>'Request #11'!V41</f>
        <v>0</v>
      </c>
      <c r="W41" s="88">
        <f>SUMIF(F7:F79,30,E7:E79)</f>
        <v>0</v>
      </c>
      <c r="X41" s="88">
        <f>'Request #11'!Y41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#11'!AA41,"OK","Alert,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#11'!V42,"OK","Send in Change Order")</f>
        <v>OK</v>
      </c>
      <c r="S42" s="85">
        <v>31</v>
      </c>
      <c r="T42" s="86" t="str">
        <f>'Request #11'!T42</f>
        <v>Other Fees</v>
      </c>
      <c r="U42" s="218">
        <f>'Request #11'!U42</f>
        <v>0</v>
      </c>
      <c r="V42" s="87">
        <f>'Request #11'!V42</f>
        <v>0</v>
      </c>
      <c r="W42" s="88">
        <f>SUMIF(F7:F79,31,E7:E79)</f>
        <v>0</v>
      </c>
      <c r="X42" s="88">
        <f>'Request #11'!Y42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#11'!AA42,"OK","Alert,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#11'!V43,"OK","Send in Change Order")</f>
        <v>OK</v>
      </c>
      <c r="S43" s="85">
        <v>32</v>
      </c>
      <c r="T43" s="86" t="str">
        <f>'Request #11'!T43</f>
        <v>Other Fees</v>
      </c>
      <c r="U43" s="218">
        <f>'Request #11'!U43</f>
        <v>0</v>
      </c>
      <c r="V43" s="87">
        <f>'Request #11'!V43</f>
        <v>0</v>
      </c>
      <c r="W43" s="88">
        <f>SUMIF(F7:F79,32,E7:E79)</f>
        <v>0</v>
      </c>
      <c r="X43" s="88">
        <f>'Request #11'!Y43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#11'!AA43,"OK","Alert,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#11'!V44,"OK","Send in Change Order")</f>
        <v>OK</v>
      </c>
      <c r="S44" s="85">
        <v>33</v>
      </c>
      <c r="T44" s="86" t="str">
        <f>'Request #11'!T44</f>
        <v>Other Fees</v>
      </c>
      <c r="U44" s="218">
        <f>'Request #11'!U44</f>
        <v>0</v>
      </c>
      <c r="V44" s="87">
        <f>'Request #11'!V44</f>
        <v>0</v>
      </c>
      <c r="W44" s="88">
        <f>SUMIF(F7:F79,33,E7:E79)</f>
        <v>0</v>
      </c>
      <c r="X44" s="88">
        <f>'Request #11'!Y44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#11'!AA44,"OK","Alert,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#11'!V49,"OK","Send in Change Order")</f>
        <v>OK</v>
      </c>
      <c r="S49" s="85">
        <v>38</v>
      </c>
      <c r="T49" s="86" t="str">
        <f>'Request #11'!T49</f>
        <v>Other Fees</v>
      </c>
      <c r="U49" s="218">
        <f>'Request #11'!U49</f>
        <v>0</v>
      </c>
      <c r="V49" s="87">
        <f>'Request #11'!V49</f>
        <v>0</v>
      </c>
      <c r="W49" s="88">
        <f>SUMIF(F7:F79,38,E7:E79)</f>
        <v>0</v>
      </c>
      <c r="X49" s="88">
        <f>'Request #11'!Y49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#11'!AA49,"OK","Alert,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#11'!V50,"OK","Send in Change Order")</f>
        <v>OK</v>
      </c>
      <c r="S50" s="85">
        <v>39</v>
      </c>
      <c r="T50" s="86" t="str">
        <f>'Request #11'!T50</f>
        <v>Other Fees</v>
      </c>
      <c r="U50" s="218">
        <f>'Request #11'!U50</f>
        <v>0</v>
      </c>
      <c r="V50" s="87">
        <f>'Request #11'!V50</f>
        <v>0</v>
      </c>
      <c r="W50" s="88">
        <f>SUMIF(F7:F79,39,E7:E79)</f>
        <v>0</v>
      </c>
      <c r="X50" s="88">
        <f>'Request #11'!Y50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#11'!AA50,"OK","Alert,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#11'!V51,"OK","Send in Change Order")</f>
        <v>OK</v>
      </c>
      <c r="S51" s="85">
        <v>40</v>
      </c>
      <c r="T51" s="86" t="str">
        <f>'Request #11'!T51</f>
        <v>Other Fees</v>
      </c>
      <c r="U51" s="218">
        <f>'Request #11'!U51</f>
        <v>0</v>
      </c>
      <c r="V51" s="87">
        <f>'Request #11'!V51</f>
        <v>0</v>
      </c>
      <c r="W51" s="88">
        <f>SUMIF(F7:F79,40,E7:E79)</f>
        <v>0</v>
      </c>
      <c r="X51" s="88">
        <f>'Request #11'!Y51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#11'!AA51,"OK","Alert,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#11'!V52,"OK","Send in Change Order")</f>
        <v>OK</v>
      </c>
      <c r="S52" s="85">
        <v>41</v>
      </c>
      <c r="T52" s="86" t="str">
        <f>'Request #11'!T52</f>
        <v>Other Fees</v>
      </c>
      <c r="U52" s="218">
        <f>'Request #11'!U52</f>
        <v>0</v>
      </c>
      <c r="V52" s="87">
        <f>'Request #11'!V52</f>
        <v>0</v>
      </c>
      <c r="W52" s="88">
        <f>SUMIF(F7:F79,41,E7:E79)</f>
        <v>0</v>
      </c>
      <c r="X52" s="88">
        <f>'Request #11'!Y52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#11'!AA52,"OK","Alert,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#11'!V53,"OK","Send in Change Order")</f>
        <v>OK</v>
      </c>
      <c r="S53" s="85">
        <v>42</v>
      </c>
      <c r="T53" s="86" t="str">
        <f>'Request #11'!T53</f>
        <v>Other Fees</v>
      </c>
      <c r="U53" s="218">
        <f>'Request #11'!U53</f>
        <v>0</v>
      </c>
      <c r="V53" s="87">
        <f>'Request #11'!V53</f>
        <v>0</v>
      </c>
      <c r="W53" s="88">
        <f>SUMIF(F7:F79,42,E7:E79)</f>
        <v>0</v>
      </c>
      <c r="X53" s="88">
        <f>'Request #11'!Y53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#11'!AA53,"OK","Alert,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#11'!V54,"OK","Send in Change Order")</f>
        <v>OK</v>
      </c>
      <c r="S54" s="85">
        <v>43</v>
      </c>
      <c r="T54" s="86" t="str">
        <f>'Request #11'!T54</f>
        <v>Other Fees</v>
      </c>
      <c r="U54" s="218">
        <f>'Request #11'!U54</f>
        <v>0</v>
      </c>
      <c r="V54" s="87">
        <f>'Request #11'!V54</f>
        <v>0</v>
      </c>
      <c r="W54" s="88">
        <f>SUMIF(F7:F79,43,E7:E79)</f>
        <v>0</v>
      </c>
      <c r="X54" s="88">
        <f>'Request #11'!Y54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#11'!AA54,"OK","Alert,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#11'!V55,"OK","Send in Change Order")</f>
        <v>OK</v>
      </c>
      <c r="S55" s="85">
        <v>44</v>
      </c>
      <c r="T55" s="86" t="str">
        <f>'Request #11'!T55</f>
        <v>Other Fees</v>
      </c>
      <c r="U55" s="218">
        <f>'Request #11'!U55</f>
        <v>0</v>
      </c>
      <c r="V55" s="87">
        <f>'Request #11'!V55</f>
        <v>0</v>
      </c>
      <c r="W55" s="88">
        <f>SUMIF(F7:F79,44,E7:E79)</f>
        <v>0</v>
      </c>
      <c r="X55" s="88">
        <f>'Request #11'!Y55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#11'!AA55,"OK","Alert,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#11'!V56,"OK","Send in Change Order")</f>
        <v>OK</v>
      </c>
      <c r="S56" s="85">
        <v>45</v>
      </c>
      <c r="T56" s="86" t="str">
        <f>'Request #11'!T56</f>
        <v>Other Fees</v>
      </c>
      <c r="U56" s="218">
        <f>'Request #11'!U56</f>
        <v>0</v>
      </c>
      <c r="V56" s="87">
        <f>'Request #11'!V56</f>
        <v>0</v>
      </c>
      <c r="W56" s="88">
        <f>SUMIF(F7:F79,45,E7:E79)</f>
        <v>0</v>
      </c>
      <c r="X56" s="88">
        <f>'Request #11'!Y56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#11'!AA56,"OK","Alert,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#11'!V57,"OK","Send in Change Order")</f>
        <v>OK</v>
      </c>
      <c r="S57" s="85">
        <v>46</v>
      </c>
      <c r="T57" s="86" t="str">
        <f>'Request #11'!T57</f>
        <v>Other Fees</v>
      </c>
      <c r="U57" s="218">
        <f>'Request #11'!U57</f>
        <v>0</v>
      </c>
      <c r="V57" s="87">
        <f>'Request #11'!V57</f>
        <v>0</v>
      </c>
      <c r="W57" s="88">
        <f>SUMIF(F7:F79,46,E7:E79)</f>
        <v>0</v>
      </c>
      <c r="X57" s="88">
        <f>'Request #11'!Y57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#11'!AA57,"OK","Alert,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#11'!V58,"OK","Send in Change Order")</f>
        <v>OK</v>
      </c>
      <c r="S58" s="85">
        <v>47</v>
      </c>
      <c r="T58" s="86" t="str">
        <f>'Request #11'!T58</f>
        <v>Other Fees</v>
      </c>
      <c r="U58" s="218">
        <f>'Request #11'!U58</f>
        <v>0</v>
      </c>
      <c r="V58" s="87">
        <f>'Request #11'!V58</f>
        <v>0</v>
      </c>
      <c r="W58" s="88">
        <f>SUMIF(F7:F79,47,E7:E79)</f>
        <v>0</v>
      </c>
      <c r="X58" s="88">
        <f>'Request #11'!Y58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#11'!AA58,"OK","Alert,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#11'!V59,"OK","Send in Change Order")</f>
        <v>OK</v>
      </c>
      <c r="S59" s="85">
        <v>48</v>
      </c>
      <c r="T59" s="86" t="str">
        <f>'Request #11'!T59</f>
        <v>Other Fees</v>
      </c>
      <c r="U59" s="218">
        <f>'Request #11'!U59</f>
        <v>0</v>
      </c>
      <c r="V59" s="87">
        <f>'Request #11'!V59</f>
        <v>0</v>
      </c>
      <c r="W59" s="88">
        <f>SUMIF(F7:F79,48,E7:E79)</f>
        <v>0</v>
      </c>
      <c r="X59" s="88">
        <f>'Request #11'!Y59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#11'!AA59,"OK","Alert,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#11'!V60,"OK","Send in Change Order")</f>
        <v>OK</v>
      </c>
      <c r="S60" s="85">
        <v>49</v>
      </c>
      <c r="T60" s="86" t="str">
        <f>'Request #11'!T60</f>
        <v>Other Fees</v>
      </c>
      <c r="U60" s="218">
        <f>'Request #11'!U60</f>
        <v>0</v>
      </c>
      <c r="V60" s="87">
        <f>'Request #11'!V60</f>
        <v>0</v>
      </c>
      <c r="W60" s="88">
        <f>SUMIF(F7:F79,49,E7:E79)</f>
        <v>0</v>
      </c>
      <c r="X60" s="88">
        <f>'Request #11'!Y60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#11'!AA60,"OK","Alert,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#11'!V61,"OK","Send in Change Order")</f>
        <v>OK</v>
      </c>
      <c r="S61" s="85">
        <v>50</v>
      </c>
      <c r="T61" s="86" t="str">
        <f>'Request #11'!T61</f>
        <v>Other Fees</v>
      </c>
      <c r="U61" s="218">
        <f>'Request #11'!U61</f>
        <v>0</v>
      </c>
      <c r="V61" s="87">
        <f>'Request #11'!V61</f>
        <v>0</v>
      </c>
      <c r="W61" s="88">
        <f>SUMIF(F7:F79,50,E7:E79)</f>
        <v>0</v>
      </c>
      <c r="X61" s="88">
        <f>'Request #11'!Y61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#11'!AA61,"OK","Alert,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#11'!V62,"OK","Send in Change Order")</f>
        <v>OK</v>
      </c>
      <c r="S62" s="85">
        <v>51</v>
      </c>
      <c r="T62" s="86" t="str">
        <f>'Request #11'!T62</f>
        <v>Other Fees</v>
      </c>
      <c r="U62" s="218">
        <f>'Request #11'!U62</f>
        <v>0</v>
      </c>
      <c r="V62" s="87">
        <f>'Request #11'!V62</f>
        <v>0</v>
      </c>
      <c r="W62" s="88">
        <f>SUMIF(F7:F79,51,E7:E79)</f>
        <v>0</v>
      </c>
      <c r="X62" s="88">
        <f>'Request #11'!Y62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#11'!AA62,"OK","Alert,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#11'!V63,"OK","Send in Change Order")</f>
        <v>OK</v>
      </c>
      <c r="S63" s="85">
        <v>52</v>
      </c>
      <c r="T63" s="86" t="str">
        <f>'Request #11'!T63</f>
        <v>Worked Performed by Owner</v>
      </c>
      <c r="U63" s="218">
        <f>'Request #11'!U63</f>
        <v>0</v>
      </c>
      <c r="V63" s="87">
        <f>'Request #11'!V63</f>
        <v>0</v>
      </c>
      <c r="W63" s="88">
        <f>SUMIF(F7:F79,52,E7:E79)</f>
        <v>0</v>
      </c>
      <c r="X63" s="88">
        <f>'Request #11'!Y63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#11'!AA63,"OK","Alert,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#11'!V64,"OK","Send in Change Order")</f>
        <v>OK</v>
      </c>
      <c r="S64" s="85">
        <v>53</v>
      </c>
      <c r="T64" s="86" t="str">
        <f>'Request #11'!T64</f>
        <v>Equipment (Major)</v>
      </c>
      <c r="U64" s="218">
        <f>'Request #11'!U64</f>
        <v>0</v>
      </c>
      <c r="V64" s="87">
        <f>'Request #11'!V64</f>
        <v>0</v>
      </c>
      <c r="W64" s="88">
        <f>SUMIF(F7:F79,53,E7:E79)</f>
        <v>0</v>
      </c>
      <c r="X64" s="88">
        <f>'Request #11'!Y64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#11'!AA64,"OK","Alert,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#11'!V65,"OK","Send in Change Order")</f>
        <v>OK</v>
      </c>
      <c r="S65" s="85">
        <v>54</v>
      </c>
      <c r="T65" s="102" t="s">
        <v>90</v>
      </c>
      <c r="U65" s="218">
        <f>'Request #11'!U65</f>
        <v>0</v>
      </c>
      <c r="V65" s="87">
        <f>'Request #11'!V65</f>
        <v>0</v>
      </c>
      <c r="W65" s="104"/>
      <c r="X65" s="88">
        <f>'Request #11'!Y65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#11'!AA65,"OK","Alert,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#11'!V66,"OK","Send in Change Order")</f>
        <v>OK</v>
      </c>
      <c r="S66" s="85">
        <v>55</v>
      </c>
      <c r="T66" s="86"/>
      <c r="U66" s="218">
        <f>'Request #11'!U66</f>
        <v>0</v>
      </c>
      <c r="V66" s="87">
        <f>'Request #11'!V66</f>
        <v>0</v>
      </c>
      <c r="W66" s="88">
        <f>SUMIF(F7:F79,55,E7:E79)</f>
        <v>0</v>
      </c>
      <c r="X66" s="88">
        <f>'Request #11'!Y66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#11'!AA66,"OK","Alert,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#11'!V67,"OK","Send in Change Order")</f>
        <v>OK</v>
      </c>
      <c r="S67" s="85">
        <v>56</v>
      </c>
      <c r="T67" s="79"/>
      <c r="U67" s="218">
        <f>'Request #11'!U67</f>
        <v>0</v>
      </c>
      <c r="V67" s="87">
        <f>'Request #11'!V67</f>
        <v>0</v>
      </c>
      <c r="W67" s="88">
        <f>SUMIF(F7:F79,56,E7:E79)</f>
        <v>0</v>
      </c>
      <c r="X67" s="88">
        <f>'Request #11'!Y67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#11'!AA67,"OK","Alert,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#11'!V68,"OK","Send in Change Order")</f>
        <v>OK</v>
      </c>
      <c r="S68" s="316" t="s">
        <v>60</v>
      </c>
      <c r="T68" s="317"/>
      <c r="U68" s="224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#11'!AA68,"OK","Alert,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25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226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27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28" t="e">
        <f>V72/V68</f>
        <v>#DIV/0!</v>
      </c>
      <c r="V72" s="88">
        <f>V68-V74-V73</f>
        <v>0</v>
      </c>
      <c r="W72" s="87">
        <v>0</v>
      </c>
      <c r="X72" s="168">
        <f>'Request #11'!Y72</f>
        <v>0</v>
      </c>
      <c r="Y72" s="88">
        <f t="shared" ref="Y72:Y73" si="8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#11'!V73,"OK","Send in Change Order")</f>
        <v>OK</v>
      </c>
      <c r="S73" s="118" t="s">
        <v>95</v>
      </c>
      <c r="T73" s="114"/>
      <c r="U73" s="228" t="e">
        <f>V73/V68</f>
        <v>#DIV/0!</v>
      </c>
      <c r="V73" s="87">
        <f>'Request #11'!V73</f>
        <v>0</v>
      </c>
      <c r="W73" s="87">
        <v>0</v>
      </c>
      <c r="X73" s="168">
        <f>'Request #11'!Y73</f>
        <v>0</v>
      </c>
      <c r="Y73" s="88">
        <f t="shared" si="8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#11'!V74,"OK","Send in Change Order")</f>
        <v>OK</v>
      </c>
      <c r="S74" s="120" t="s">
        <v>96</v>
      </c>
      <c r="T74" s="121"/>
      <c r="U74" s="228" t="e">
        <f>V74/V68</f>
        <v>#DIV/0!</v>
      </c>
      <c r="V74" s="87">
        <f>'Request #11'!V74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221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30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30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31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221"/>
      <c r="V80" s="55"/>
      <c r="W80" s="55"/>
      <c r="X80" s="138"/>
      <c r="Y80" s="45" t="s">
        <v>108</v>
      </c>
      <c r="Z80" s="43"/>
      <c r="AA80" s="88">
        <f>'Request #11'!AA79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12</v>
      </c>
      <c r="V87" s="55"/>
      <c r="W87" s="55"/>
      <c r="X87" s="138"/>
      <c r="Y87" s="45" t="s">
        <v>108</v>
      </c>
      <c r="Z87" s="43"/>
      <c r="AA87" s="88">
        <f>'Request #11'!AA86</f>
        <v>0</v>
      </c>
      <c r="AB87" s="110"/>
    </row>
    <row r="88" spans="1:28" ht="30" customHeight="1" thickBot="1" x14ac:dyDescent="0.35">
      <c r="S88" s="55"/>
      <c r="T88" s="55"/>
      <c r="U88" s="221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221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221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221"/>
      <c r="V91" s="55"/>
      <c r="W91" s="55"/>
      <c r="X91" s="55"/>
    </row>
    <row r="92" spans="1:28" ht="30" customHeight="1" x14ac:dyDescent="0.3">
      <c r="S92" s="55"/>
      <c r="T92" s="55"/>
      <c r="U92" s="221"/>
      <c r="V92" s="55"/>
      <c r="W92" s="55"/>
      <c r="X92" s="55"/>
    </row>
    <row r="93" spans="1:28" ht="30" customHeight="1" x14ac:dyDescent="0.3">
      <c r="S93" s="55"/>
      <c r="T93" s="55"/>
      <c r="U93" s="221"/>
      <c r="V93" s="55"/>
      <c r="W93" s="55"/>
      <c r="X93" s="55"/>
    </row>
    <row r="94" spans="1:28" ht="30" customHeight="1" x14ac:dyDescent="0.3">
      <c r="S94" s="55"/>
      <c r="T94" s="55"/>
      <c r="U94" s="221"/>
      <c r="V94" s="55"/>
      <c r="W94" s="55"/>
      <c r="X94" s="55"/>
    </row>
    <row r="95" spans="1:28" ht="30" customHeight="1" x14ac:dyDescent="0.3">
      <c r="S95" s="55"/>
      <c r="T95" s="55"/>
      <c r="U95" s="221"/>
      <c r="V95" s="55"/>
      <c r="W95" s="55"/>
      <c r="X95" s="55"/>
    </row>
    <row r="96" spans="1:28" ht="30" customHeight="1" x14ac:dyDescent="0.3">
      <c r="S96" s="55"/>
      <c r="T96" s="55"/>
      <c r="U96" s="221"/>
      <c r="V96" s="55"/>
      <c r="W96" s="55"/>
      <c r="X96" s="55"/>
    </row>
    <row r="97" spans="15:24" ht="30" customHeight="1" x14ac:dyDescent="0.3">
      <c r="S97" s="55"/>
      <c r="T97" s="55"/>
      <c r="U97" s="221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r1E/fzkuF826UwDlvkSNIgQNXVyFboMykaJu67WvJ9eC8VpRKa3G0QxkAOGjf506c07jItdNUMoJDd1Qo5repA==" saltValue="nhqNy2V04e+5xywMQmIuuA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332" priority="9" operator="containsText" text="Change">
      <formula>NOT(ISERROR(SEARCH("Change",R1)))</formula>
    </cfRule>
  </conditionalFormatting>
  <conditionalFormatting sqref="R45:R48">
    <cfRule type="cellIs" dxfId="331" priority="7" operator="equal">
      <formula>"Send in Change Order"</formula>
    </cfRule>
  </conditionalFormatting>
  <conditionalFormatting sqref="W68">
    <cfRule type="cellIs" dxfId="330" priority="2" operator="notEqual">
      <formula>$E$82</formula>
    </cfRule>
    <cfRule type="cellIs" dxfId="329" priority="3" operator="greaterThan">
      <formula>$E$82</formula>
    </cfRule>
    <cfRule type="cellIs" dxfId="328" priority="4" operator="notEqual">
      <formula>$E$82</formula>
    </cfRule>
  </conditionalFormatting>
  <conditionalFormatting sqref="Z12:Z44">
    <cfRule type="cellIs" dxfId="327" priority="8" operator="lessThan">
      <formula>0</formula>
    </cfRule>
  </conditionalFormatting>
  <conditionalFormatting sqref="Z49:Z68">
    <cfRule type="cellIs" dxfId="326" priority="5" operator="lessThan">
      <formula>0</formula>
    </cfRule>
  </conditionalFormatting>
  <conditionalFormatting sqref="AA68">
    <cfRule type="cellIs" dxfId="325" priority="1" operator="notEqual">
      <formula>$O$82</formula>
    </cfRule>
  </conditionalFormatting>
  <conditionalFormatting sqref="AB1:AB1048576">
    <cfRule type="containsText" dxfId="324" priority="6" operator="containsText" text="Alert">
      <formula>NOT(ISERROR(SEARCH("Alert",AB1)))</formula>
    </cfRule>
  </conditionalFormatting>
  <pageMargins left="0.7" right="0.7" top="0.75" bottom="0.75" header="0.3" footer="0.3"/>
  <pageSetup scale="44" orientation="portrait" r:id="rId1"/>
  <rowBreaks count="1" manualBreakCount="1">
    <brk id="44" max="16383" man="1"/>
  </rowBreaks>
  <colBreaks count="11" manualBreakCount="11">
    <brk id="6" max="89" man="1"/>
    <brk id="10" max="1048575" man="1"/>
    <brk id="16" max="1048575" man="1"/>
    <brk id="18" max="89" man="1"/>
    <brk id="27" max="89" man="1"/>
    <brk id="29" max="1048575" man="1"/>
    <brk id="51" max="1048575" man="1"/>
    <brk id="52" max="1048575" man="1"/>
    <brk id="99" max="1048575" man="1"/>
    <brk id="101" max="1048575" man="1"/>
    <brk id="11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135"/>
  <sheetViews>
    <sheetView view="pageBreakPreview" topLeftCell="Q1" zoomScale="60" zoomScaleNormal="100" workbookViewId="0">
      <selection activeCell="K18" sqref="K18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10937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109375" style="50" customWidth="1"/>
    <col min="19" max="19" width="6.44140625" style="39" customWidth="1"/>
    <col min="20" max="20" width="31.44140625" style="39" customWidth="1"/>
    <col min="21" max="21" width="17.77734375" style="219" customWidth="1"/>
    <col min="22" max="27" width="18.88671875" style="39" customWidth="1"/>
    <col min="28" max="28" width="25.77734375" style="54" customWidth="1"/>
    <col min="29" max="29" width="8.88671875" style="40"/>
    <col min="30" max="30" width="16" style="39" customWidth="1"/>
    <col min="31" max="31" width="103.21875" style="39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220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13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220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220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221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22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23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13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218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#12'!V12,"OK","Send in Change Order")</f>
        <v>OK</v>
      </c>
      <c r="S12" s="85">
        <v>1</v>
      </c>
      <c r="T12" s="86" t="str">
        <f>'Request #12'!T12</f>
        <v>Land/Site Grading &amp; Improv.</v>
      </c>
      <c r="U12" s="218">
        <f>'Request #12'!U12</f>
        <v>0</v>
      </c>
      <c r="V12" s="87">
        <f>'Request #12'!V12</f>
        <v>0</v>
      </c>
      <c r="W12" s="88">
        <f>SUMIF(F7:F79,1,E7:E79)</f>
        <v>0</v>
      </c>
      <c r="X12" s="88">
        <f>'Request #12'!Y12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#12'!AA12,"OK","Alert,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#12'!V13,"OK","Send in Change Order")</f>
        <v>OK</v>
      </c>
      <c r="S13" s="85">
        <v>2</v>
      </c>
      <c r="T13" s="86" t="str">
        <f>'Request #12'!T13</f>
        <v xml:space="preserve">General Contract </v>
      </c>
      <c r="U13" s="218">
        <f>'Request #12'!U13</f>
        <v>0</v>
      </c>
      <c r="V13" s="87">
        <f>'Request #12'!V13</f>
        <v>0</v>
      </c>
      <c r="W13" s="88">
        <f>SUMIF(F7:F79,2,E7:E79)</f>
        <v>0</v>
      </c>
      <c r="X13" s="88">
        <f>'Request #12'!Y13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#12'!AA13,"OK","Alert,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#12'!V14,"OK","Send in Change Order")</f>
        <v>OK</v>
      </c>
      <c r="S14" s="85">
        <v>3</v>
      </c>
      <c r="T14" s="86" t="str">
        <f>'Request #12'!T14</f>
        <v>Designer Contract</v>
      </c>
      <c r="U14" s="218">
        <f>'Request #12'!U14</f>
        <v>0</v>
      </c>
      <c r="V14" s="87">
        <f>'Request #12'!V14</f>
        <v>0</v>
      </c>
      <c r="W14" s="88">
        <f>SUMIF(F7:F79,3,E7:E79)</f>
        <v>0</v>
      </c>
      <c r="X14" s="88">
        <f>'Request #12'!Y14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#12'!AA14,"OK","Alert,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#12'!V15,"OK","Send in Change Order")</f>
        <v>OK</v>
      </c>
      <c r="S15" s="85">
        <v>4</v>
      </c>
      <c r="T15" s="86" t="str">
        <f>'Request #12'!T15</f>
        <v>Designer Reimbursables</v>
      </c>
      <c r="U15" s="218">
        <f>'Request #12'!U15</f>
        <v>0</v>
      </c>
      <c r="V15" s="87">
        <f>'Request #12'!V15</f>
        <v>0</v>
      </c>
      <c r="W15" s="88">
        <f>SUMIF(F7:F79,4,E7:E79)</f>
        <v>0</v>
      </c>
      <c r="X15" s="88">
        <f>'Request #12'!Y15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#12'!AA15,"OK","Alert,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#12'!V16,"OK","Send in Change Order")</f>
        <v>OK</v>
      </c>
      <c r="S16" s="85">
        <v>5</v>
      </c>
      <c r="T16" s="86" t="str">
        <f>'Request #12'!T16</f>
        <v>Other Contracts</v>
      </c>
      <c r="U16" s="218">
        <f>'Request #12'!U16</f>
        <v>0</v>
      </c>
      <c r="V16" s="87">
        <f>'Request #12'!V16</f>
        <v>0</v>
      </c>
      <c r="W16" s="88">
        <f>SUMIF(F7:F79,5,E7:E79)</f>
        <v>0</v>
      </c>
      <c r="X16" s="88">
        <f>'Request #12'!Y16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#12'!AA16,"OK","Alert,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#12'!V17,"OK","Send in Change Order")</f>
        <v>OK</v>
      </c>
      <c r="S17" s="85">
        <v>6</v>
      </c>
      <c r="T17" s="86" t="str">
        <f>'Request #12'!T17</f>
        <v>Other Contracts</v>
      </c>
      <c r="U17" s="218">
        <f>'Request #12'!U17</f>
        <v>0</v>
      </c>
      <c r="V17" s="87">
        <f>'Request #12'!V17</f>
        <v>0</v>
      </c>
      <c r="W17" s="88">
        <f>SUMIF(F7:F79,6,E7:E79)</f>
        <v>0</v>
      </c>
      <c r="X17" s="88">
        <f>'Request #12'!Y17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#12'!AA17,"OK","Alert,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#12'!V18,"OK","Send in Change Order")</f>
        <v>OK</v>
      </c>
      <c r="S18" s="85">
        <v>7</v>
      </c>
      <c r="T18" s="86" t="str">
        <f>'Request #12'!T18</f>
        <v>Other Contracts</v>
      </c>
      <c r="U18" s="218">
        <f>'Request #12'!U18</f>
        <v>0</v>
      </c>
      <c r="V18" s="87">
        <f>'Request #12'!V18</f>
        <v>0</v>
      </c>
      <c r="W18" s="88">
        <f>SUMIF(F7:F79,7,E7:E79)</f>
        <v>0</v>
      </c>
      <c r="X18" s="88">
        <f>'Request #12'!Y18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#12'!AA18,"OK","Alert,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#12'!V19,"OK","Send in Change Order")</f>
        <v>OK</v>
      </c>
      <c r="S19" s="85">
        <v>8</v>
      </c>
      <c r="T19" s="86" t="str">
        <f>'Request #12'!T19</f>
        <v>Other Contracts</v>
      </c>
      <c r="U19" s="218">
        <f>'Request #12'!U19</f>
        <v>0</v>
      </c>
      <c r="V19" s="87">
        <f>'Request #12'!V19</f>
        <v>0</v>
      </c>
      <c r="W19" s="88">
        <f>SUMIF(F7:F79,8,E7:E79)</f>
        <v>0</v>
      </c>
      <c r="X19" s="88">
        <f>'Request #12'!Y19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#12'!AA19,"OK","Alert,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#12'!V20,"OK","Send in Change Order")</f>
        <v>OK</v>
      </c>
      <c r="S20" s="85">
        <v>9</v>
      </c>
      <c r="T20" s="86" t="str">
        <f>'Request #12'!T20</f>
        <v>Other Contracts</v>
      </c>
      <c r="U20" s="218">
        <f>'Request #12'!U20</f>
        <v>0</v>
      </c>
      <c r="V20" s="87">
        <f>'Request #12'!V20</f>
        <v>0</v>
      </c>
      <c r="W20" s="88">
        <f>SUMIF(F7:F79,9,E7:E79)</f>
        <v>0</v>
      </c>
      <c r="X20" s="88">
        <f>'Request #12'!Y20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#12'!AA20,"OK","Alert,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#12'!V21,"OK","Send in Change Order")</f>
        <v>OK</v>
      </c>
      <c r="S21" s="85">
        <v>10</v>
      </c>
      <c r="T21" s="86" t="str">
        <f>'Request #12'!T21</f>
        <v>Other Contracts</v>
      </c>
      <c r="U21" s="218">
        <f>'Request #12'!U21</f>
        <v>0</v>
      </c>
      <c r="V21" s="87">
        <f>'Request #12'!V21</f>
        <v>0</v>
      </c>
      <c r="W21" s="88">
        <f>SUMIF(F7:F79,10,E7:E79)</f>
        <v>0</v>
      </c>
      <c r="X21" s="88">
        <f>'Request #12'!Y21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#12'!AA21,"OK","Alert,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#12'!V22,"OK","Send in Change Order")</f>
        <v>OK</v>
      </c>
      <c r="S22" s="85">
        <v>11</v>
      </c>
      <c r="T22" s="86" t="str">
        <f>'Request #12'!T22</f>
        <v>Other Contracts</v>
      </c>
      <c r="U22" s="218">
        <f>'Request #12'!U22</f>
        <v>0</v>
      </c>
      <c r="V22" s="87">
        <f>'Request #12'!V22</f>
        <v>0</v>
      </c>
      <c r="W22" s="88">
        <f>SUMIF(F7:F79,11,E7:E79)</f>
        <v>0</v>
      </c>
      <c r="X22" s="88">
        <f>'Request #12'!Y22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#12'!AA22,"OK","Alert,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#12'!V23,"OK","Send in Change Order")</f>
        <v>OK</v>
      </c>
      <c r="S23" s="85">
        <v>12</v>
      </c>
      <c r="T23" s="86" t="str">
        <f>'Request #12'!T23</f>
        <v>Other Contracts</v>
      </c>
      <c r="U23" s="218">
        <f>'Request #12'!U23</f>
        <v>0</v>
      </c>
      <c r="V23" s="87">
        <f>'Request #12'!V23</f>
        <v>0</v>
      </c>
      <c r="W23" s="88">
        <f>SUMIF(F7:F79,12,E7:E79)</f>
        <v>0</v>
      </c>
      <c r="X23" s="88">
        <f>'Request #12'!Y23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#12'!AA23,"OK","Alert,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#12'!V24,"OK","Send in Change Order")</f>
        <v>OK</v>
      </c>
      <c r="S24" s="85">
        <v>13</v>
      </c>
      <c r="T24" s="86" t="str">
        <f>'Request #12'!T24</f>
        <v>Other Contracts</v>
      </c>
      <c r="U24" s="218">
        <f>'Request #12'!U24</f>
        <v>0</v>
      </c>
      <c r="V24" s="87">
        <f>'Request #12'!V24</f>
        <v>0</v>
      </c>
      <c r="W24" s="88">
        <f>SUMIF(F7:F79,13,E7:E79)</f>
        <v>0</v>
      </c>
      <c r="X24" s="88">
        <f>'Request #12'!Y24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#12'!AA24,"OK","Alert,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#12'!V25,"OK","Send in Change Order")</f>
        <v>OK</v>
      </c>
      <c r="S25" s="85">
        <v>14</v>
      </c>
      <c r="T25" s="86" t="str">
        <f>'Request #12'!T25</f>
        <v>Other Contracts</v>
      </c>
      <c r="U25" s="218">
        <f>'Request #12'!U25</f>
        <v>0</v>
      </c>
      <c r="V25" s="87">
        <f>'Request #12'!V25</f>
        <v>0</v>
      </c>
      <c r="W25" s="88">
        <f>SUMIF(F7:F79,14,E7:E79)</f>
        <v>0</v>
      </c>
      <c r="X25" s="88">
        <f>'Request #12'!Y25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#12'!AA25,"OK","Alert,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#12'!V26,"OK","Send in Change Order")</f>
        <v>OK</v>
      </c>
      <c r="S26" s="85">
        <v>15</v>
      </c>
      <c r="T26" s="86" t="str">
        <f>'Request #12'!T26</f>
        <v>Other Contracts</v>
      </c>
      <c r="U26" s="218">
        <f>'Request #12'!U26</f>
        <v>0</v>
      </c>
      <c r="V26" s="87">
        <f>'Request #12'!V26</f>
        <v>0</v>
      </c>
      <c r="W26" s="88">
        <f>SUMIF(F7:F79,15,E7:E79)</f>
        <v>0</v>
      </c>
      <c r="X26" s="88">
        <f>'Request #12'!Y26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#12'!AA26,"OK","Alert,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#12'!V27,"OK","Send in Change Order")</f>
        <v>OK</v>
      </c>
      <c r="S27" s="85">
        <v>16</v>
      </c>
      <c r="T27" s="86" t="str">
        <f>'Request #12'!T27</f>
        <v>Other Contracts</v>
      </c>
      <c r="U27" s="218">
        <f>'Request #12'!U27</f>
        <v>0</v>
      </c>
      <c r="V27" s="87">
        <f>'Request #12'!V27</f>
        <v>0</v>
      </c>
      <c r="W27" s="88">
        <f>SUMIF(F7:F79,16,E7:E79)</f>
        <v>0</v>
      </c>
      <c r="X27" s="88">
        <f>'Request #12'!Y27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#12'!AA27,"OK","Alert,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#12'!V28,"OK","Send in Change Order")</f>
        <v>OK</v>
      </c>
      <c r="S28" s="85">
        <v>17</v>
      </c>
      <c r="T28" s="86" t="str">
        <f>'Request #12'!T28</f>
        <v>Other Contracts</v>
      </c>
      <c r="U28" s="218">
        <f>'Request #12'!U28</f>
        <v>0</v>
      </c>
      <c r="V28" s="87">
        <f>'Request #12'!V28</f>
        <v>0</v>
      </c>
      <c r="W28" s="88">
        <f>SUMIF(F7:F79,17,E7:E79)</f>
        <v>0</v>
      </c>
      <c r="X28" s="88">
        <f>'Request #12'!Y28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#12'!AA28,"OK","Alert,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#12'!V29,"OK","Send in Change Order")</f>
        <v>OK</v>
      </c>
      <c r="S29" s="85">
        <v>18</v>
      </c>
      <c r="T29" s="86" t="str">
        <f>'Request #12'!T29</f>
        <v>Other Contracts</v>
      </c>
      <c r="U29" s="218">
        <f>'Request #12'!U29</f>
        <v>0</v>
      </c>
      <c r="V29" s="87">
        <f>'Request #12'!V29</f>
        <v>0</v>
      </c>
      <c r="W29" s="88">
        <f>SUMIF(F7:F79,18,E7:E79)</f>
        <v>0</v>
      </c>
      <c r="X29" s="88">
        <f>'Request #12'!Y29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#12'!AA29,"OK","Alert,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#12'!V30,"OK","Send in Change Order")</f>
        <v>OK</v>
      </c>
      <c r="S30" s="85">
        <v>19</v>
      </c>
      <c r="T30" s="86" t="str">
        <f>'Request #12'!T30</f>
        <v>Other Contracts</v>
      </c>
      <c r="U30" s="218">
        <f>'Request #12'!U30</f>
        <v>0</v>
      </c>
      <c r="V30" s="87">
        <f>'Request #12'!V30</f>
        <v>0</v>
      </c>
      <c r="W30" s="88">
        <f>SUMIF(F7:F79,19,E7:E79)</f>
        <v>0</v>
      </c>
      <c r="X30" s="88">
        <f>'Request #12'!Y30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#12'!AA30,"OK","Alert,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#12'!V31,"OK","Send in Change Order")</f>
        <v>OK</v>
      </c>
      <c r="S31" s="85">
        <v>20</v>
      </c>
      <c r="T31" s="86" t="str">
        <f>'Request #12'!T31</f>
        <v>Other Contracts</v>
      </c>
      <c r="U31" s="218">
        <f>'Request #12'!U31</f>
        <v>0</v>
      </c>
      <c r="V31" s="87">
        <f>'Request #12'!V31</f>
        <v>0</v>
      </c>
      <c r="W31" s="88">
        <f>SUMIF(F7:F79,20,E7:E79)</f>
        <v>0</v>
      </c>
      <c r="X31" s="88">
        <f>'Request #12'!Y31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#12'!AA31,"OK","Alert,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#12'!V32,"OK","Send in Change Order")</f>
        <v>OK</v>
      </c>
      <c r="S32" s="85">
        <v>21</v>
      </c>
      <c r="T32" s="86" t="str">
        <f>'Request #12'!T32</f>
        <v>Other Contracts</v>
      </c>
      <c r="U32" s="218">
        <f>'Request #12'!U32</f>
        <v>0</v>
      </c>
      <c r="V32" s="87">
        <f>'Request #12'!V32</f>
        <v>0</v>
      </c>
      <c r="W32" s="88">
        <f>SUMIF(F7:F79,21,E7:E79)</f>
        <v>0</v>
      </c>
      <c r="X32" s="88">
        <f>'Request #12'!Y32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#12'!AA32,"OK","Alert,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#12'!V33,"OK","Send in Change Order")</f>
        <v>OK</v>
      </c>
      <c r="S33" s="85">
        <v>22</v>
      </c>
      <c r="T33" s="86" t="str">
        <f>'Request #12'!T33</f>
        <v>Other Contracts</v>
      </c>
      <c r="U33" s="218">
        <f>'Request #12'!U33</f>
        <v>0</v>
      </c>
      <c r="V33" s="87">
        <f>'Request #12'!V33</f>
        <v>0</v>
      </c>
      <c r="W33" s="88">
        <f>SUMIF(F7:F79,22,E7:E79)</f>
        <v>0</v>
      </c>
      <c r="X33" s="88">
        <f>'Request #12'!Y33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#12'!AA33,"OK","Alert,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#12'!V34,"OK","Send in Change Order")</f>
        <v>OK</v>
      </c>
      <c r="S34" s="85">
        <v>23</v>
      </c>
      <c r="T34" s="86" t="str">
        <f>'Request #12'!T34</f>
        <v>Other Contracts</v>
      </c>
      <c r="U34" s="218">
        <f>'Request #12'!U34</f>
        <v>0</v>
      </c>
      <c r="V34" s="87">
        <f>'Request #12'!V34</f>
        <v>0</v>
      </c>
      <c r="W34" s="88">
        <f>SUMIF(F7:F79,23,E7:E79)</f>
        <v>0</v>
      </c>
      <c r="X34" s="88">
        <f>'Request #12'!Y34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#12'!AA34,"OK","Alert,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#12'!V35,"OK","Send in Change Order")</f>
        <v>OK</v>
      </c>
      <c r="S35" s="85">
        <v>24</v>
      </c>
      <c r="T35" s="86" t="str">
        <f>'Request #12'!T35</f>
        <v>Other Contracts</v>
      </c>
      <c r="U35" s="218">
        <f>'Request #12'!U35</f>
        <v>0</v>
      </c>
      <c r="V35" s="87">
        <f>'Request #12'!V35</f>
        <v>0</v>
      </c>
      <c r="W35" s="88">
        <f>SUMIF(F7:F79,24,E7:E79)</f>
        <v>0</v>
      </c>
      <c r="X35" s="88">
        <f>'Request #12'!Y35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#12'!AA35,"OK","Alert,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#12'!V36,"OK","Send in Change Order")</f>
        <v>OK</v>
      </c>
      <c r="S36" s="85">
        <v>25</v>
      </c>
      <c r="T36" s="86" t="str">
        <f>'Request #12'!T36</f>
        <v>Other Contracts</v>
      </c>
      <c r="U36" s="218">
        <f>'Request #12'!U36</f>
        <v>0</v>
      </c>
      <c r="V36" s="87">
        <f>'Request #12'!V36</f>
        <v>0</v>
      </c>
      <c r="W36" s="88">
        <f>SUMIF(F7:F79,25,E7:E79)</f>
        <v>0</v>
      </c>
      <c r="X36" s="88">
        <f>'Request #12'!Y36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#12'!AA36,"OK","Alert,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#12'!V37,"OK","Send in Change Order")</f>
        <v>OK</v>
      </c>
      <c r="S37" s="85">
        <v>26</v>
      </c>
      <c r="T37" s="86" t="str">
        <f>'Request #12'!T37</f>
        <v>Other Fees</v>
      </c>
      <c r="U37" s="218">
        <f>'Request #12'!U37</f>
        <v>0</v>
      </c>
      <c r="V37" s="87">
        <f>'Request #12'!V37</f>
        <v>0</v>
      </c>
      <c r="W37" s="88">
        <f>SUMIF(F7:F79,26,E7:E79)</f>
        <v>0</v>
      </c>
      <c r="X37" s="88">
        <f>'Request #12'!Y37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#12'!AA37,"OK","Alert,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#12'!V38,"OK","Send in Change Order")</f>
        <v>OK</v>
      </c>
      <c r="S38" s="85">
        <v>27</v>
      </c>
      <c r="T38" s="86" t="str">
        <f>'Request #12'!T38</f>
        <v>Other Fees</v>
      </c>
      <c r="U38" s="218">
        <f>'Request #12'!U38</f>
        <v>0</v>
      </c>
      <c r="V38" s="87">
        <f>'Request #12'!V38</f>
        <v>0</v>
      </c>
      <c r="W38" s="88">
        <f>SUMIF(F7:F79,27,E7:E79)</f>
        <v>0</v>
      </c>
      <c r="X38" s="88">
        <f>'Request #12'!Y38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#12'!AA38,"OK","Alert,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#12'!V39,"OK","Send in Change Order")</f>
        <v>OK</v>
      </c>
      <c r="S39" s="85">
        <v>28</v>
      </c>
      <c r="T39" s="86" t="str">
        <f>'Request #12'!T39</f>
        <v>Other Fees</v>
      </c>
      <c r="U39" s="218">
        <f>'Request #12'!U39</f>
        <v>0</v>
      </c>
      <c r="V39" s="87">
        <f>'Request #12'!V39</f>
        <v>0</v>
      </c>
      <c r="W39" s="88">
        <f>SUMIF(F7:F79,28,E7:E79)</f>
        <v>0</v>
      </c>
      <c r="X39" s="88">
        <f>'Request #12'!Y39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#12'!AA39,"OK","Alert,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#12'!V40,"OK","Send in Change Order")</f>
        <v>OK</v>
      </c>
      <c r="S40" s="85">
        <v>29</v>
      </c>
      <c r="T40" s="86" t="str">
        <f>'Request #12'!T40</f>
        <v>Other Fees</v>
      </c>
      <c r="U40" s="218">
        <f>'Request #12'!U40</f>
        <v>0</v>
      </c>
      <c r="V40" s="87">
        <f>'Request #12'!V40</f>
        <v>0</v>
      </c>
      <c r="W40" s="88">
        <f>SUMIF(F7:F79,29,E7:E79)</f>
        <v>0</v>
      </c>
      <c r="X40" s="88">
        <f>'Request #12'!Y40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#12'!AA40,"OK","Alert,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#12'!V41,"OK","Send in Change Order")</f>
        <v>OK</v>
      </c>
      <c r="S41" s="85">
        <v>30</v>
      </c>
      <c r="T41" s="86" t="str">
        <f>'Request #12'!T41</f>
        <v>Other Fees</v>
      </c>
      <c r="U41" s="218">
        <f>'Request #12'!U41</f>
        <v>0</v>
      </c>
      <c r="V41" s="87">
        <f>'Request #12'!V41</f>
        <v>0</v>
      </c>
      <c r="W41" s="88">
        <f>SUMIF(F7:F79,30,E7:E79)</f>
        <v>0</v>
      </c>
      <c r="X41" s="88">
        <f>'Request #12'!Y41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#12'!AA41,"OK","Alert,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#12'!V42,"OK","Send in Change Order")</f>
        <v>OK</v>
      </c>
      <c r="S42" s="85">
        <v>31</v>
      </c>
      <c r="T42" s="86" t="str">
        <f>'Request #12'!T42</f>
        <v>Other Fees</v>
      </c>
      <c r="U42" s="218">
        <f>'Request #12'!U42</f>
        <v>0</v>
      </c>
      <c r="V42" s="87">
        <f>'Request #12'!V42</f>
        <v>0</v>
      </c>
      <c r="W42" s="88">
        <f>SUMIF(F7:F79,31,E7:E79)</f>
        <v>0</v>
      </c>
      <c r="X42" s="88">
        <f>'Request #12'!Y42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#12'!AA42,"OK","Alert,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#12'!V43,"OK","Send in Change Order")</f>
        <v>OK</v>
      </c>
      <c r="S43" s="85">
        <v>32</v>
      </c>
      <c r="T43" s="86" t="str">
        <f>'Request #12'!T43</f>
        <v>Other Fees</v>
      </c>
      <c r="U43" s="218">
        <f>'Request #12'!U43</f>
        <v>0</v>
      </c>
      <c r="V43" s="87">
        <f>'Request #12'!V43</f>
        <v>0</v>
      </c>
      <c r="W43" s="88">
        <f>SUMIF(F7:F79,32,E7:E79)</f>
        <v>0</v>
      </c>
      <c r="X43" s="88">
        <f>'Request #12'!Y43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#12'!AA43,"OK","Alert,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#12'!V44,"OK","Send in Change Order")</f>
        <v>OK</v>
      </c>
      <c r="S44" s="85">
        <v>33</v>
      </c>
      <c r="T44" s="86" t="str">
        <f>'Request #12'!T44</f>
        <v>Other Fees</v>
      </c>
      <c r="U44" s="218">
        <f>'Request #12'!U44</f>
        <v>0</v>
      </c>
      <c r="V44" s="87">
        <f>'Request #12'!V44</f>
        <v>0</v>
      </c>
      <c r="W44" s="88">
        <f>SUMIF(F7:F79,33,E7:E79)</f>
        <v>0</v>
      </c>
      <c r="X44" s="88">
        <f>'Request #12'!Y44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#12'!AA44,"OK","Alert,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#12'!V49,"OK","Send in Change Order")</f>
        <v>OK</v>
      </c>
      <c r="S49" s="85">
        <v>38</v>
      </c>
      <c r="T49" s="86" t="str">
        <f>'Request #12'!T49</f>
        <v>Other Fees</v>
      </c>
      <c r="U49" s="218">
        <f>'Request #12'!U49</f>
        <v>0</v>
      </c>
      <c r="V49" s="87">
        <f>'Request #12'!V49</f>
        <v>0</v>
      </c>
      <c r="W49" s="88">
        <f>SUMIF(F7:F79,38,E7:E79)</f>
        <v>0</v>
      </c>
      <c r="X49" s="88">
        <f>'Request #12'!Y49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#12'!AA49,"OK","Alert,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#12'!V50,"OK","Send in Change Order")</f>
        <v>OK</v>
      </c>
      <c r="S50" s="85">
        <v>39</v>
      </c>
      <c r="T50" s="86" t="str">
        <f>'Request #12'!T50</f>
        <v>Other Fees</v>
      </c>
      <c r="U50" s="218">
        <f>'Request #12'!U50</f>
        <v>0</v>
      </c>
      <c r="V50" s="87">
        <f>'Request #12'!V50</f>
        <v>0</v>
      </c>
      <c r="W50" s="88">
        <f>SUMIF(F7:F79,39,E7:E79)</f>
        <v>0</v>
      </c>
      <c r="X50" s="88">
        <f>'Request #12'!Y50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#12'!AA50,"OK","Alert,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#12'!V51,"OK","Send in Change Order")</f>
        <v>OK</v>
      </c>
      <c r="S51" s="85">
        <v>40</v>
      </c>
      <c r="T51" s="86" t="str">
        <f>'Request #12'!T51</f>
        <v>Other Fees</v>
      </c>
      <c r="U51" s="218">
        <f>'Request #12'!U51</f>
        <v>0</v>
      </c>
      <c r="V51" s="87">
        <f>'Request #12'!V51</f>
        <v>0</v>
      </c>
      <c r="W51" s="88">
        <f>SUMIF(F7:F79,40,E7:E79)</f>
        <v>0</v>
      </c>
      <c r="X51" s="88">
        <f>'Request #12'!Y51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#12'!AA51,"OK","Alert,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#12'!V52,"OK","Send in Change Order")</f>
        <v>OK</v>
      </c>
      <c r="S52" s="85">
        <v>41</v>
      </c>
      <c r="T52" s="86" t="str">
        <f>'Request #12'!T52</f>
        <v>Other Fees</v>
      </c>
      <c r="U52" s="218">
        <f>'Request #12'!U52</f>
        <v>0</v>
      </c>
      <c r="V52" s="87">
        <f>'Request #12'!V52</f>
        <v>0</v>
      </c>
      <c r="W52" s="88">
        <f>SUMIF(F7:F79,41,E7:E79)</f>
        <v>0</v>
      </c>
      <c r="X52" s="88">
        <f>'Request #12'!Y52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#12'!AA52,"OK","Alert,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#12'!V53,"OK","Send in Change Order")</f>
        <v>OK</v>
      </c>
      <c r="S53" s="85">
        <v>42</v>
      </c>
      <c r="T53" s="86" t="str">
        <f>'Request #12'!T53</f>
        <v>Other Fees</v>
      </c>
      <c r="U53" s="218">
        <f>'Request #12'!U53</f>
        <v>0</v>
      </c>
      <c r="V53" s="87">
        <f>'Request #12'!V53</f>
        <v>0</v>
      </c>
      <c r="W53" s="88">
        <f>SUMIF(F7:F79,42,E7:E79)</f>
        <v>0</v>
      </c>
      <c r="X53" s="88">
        <f>'Request #12'!Y53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#12'!AA53,"OK","Alert,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#12'!V54,"OK","Send in Change Order")</f>
        <v>OK</v>
      </c>
      <c r="S54" s="85">
        <v>43</v>
      </c>
      <c r="T54" s="86" t="str">
        <f>'Request #12'!T54</f>
        <v>Other Fees</v>
      </c>
      <c r="U54" s="218">
        <f>'Request #12'!U54</f>
        <v>0</v>
      </c>
      <c r="V54" s="87">
        <f>'Request #12'!V54</f>
        <v>0</v>
      </c>
      <c r="W54" s="88">
        <f>SUMIF(F7:F79,43,E7:E79)</f>
        <v>0</v>
      </c>
      <c r="X54" s="88">
        <f>'Request #12'!Y54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#12'!AA54,"OK","Alert,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#12'!V55,"OK","Send in Change Order")</f>
        <v>OK</v>
      </c>
      <c r="S55" s="85">
        <v>44</v>
      </c>
      <c r="T55" s="86" t="str">
        <f>'Request #12'!T55</f>
        <v>Other Fees</v>
      </c>
      <c r="U55" s="218">
        <f>'Request #12'!U55</f>
        <v>0</v>
      </c>
      <c r="V55" s="87">
        <f>'Request #12'!V55</f>
        <v>0</v>
      </c>
      <c r="W55" s="88">
        <f>SUMIF(F7:F79,44,E7:E79)</f>
        <v>0</v>
      </c>
      <c r="X55" s="88">
        <f>'Request #12'!Y55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#12'!AA55,"OK","Alert,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#12'!V56,"OK","Send in Change Order")</f>
        <v>OK</v>
      </c>
      <c r="S56" s="85">
        <v>45</v>
      </c>
      <c r="T56" s="86" t="str">
        <f>'Request #12'!T56</f>
        <v>Other Fees</v>
      </c>
      <c r="U56" s="218">
        <f>'Request #12'!U56</f>
        <v>0</v>
      </c>
      <c r="V56" s="87">
        <f>'Request #12'!V56</f>
        <v>0</v>
      </c>
      <c r="W56" s="88">
        <f>SUMIF(F7:F79,45,E7:E79)</f>
        <v>0</v>
      </c>
      <c r="X56" s="88">
        <f>'Request #12'!Y56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#12'!AA56,"OK","Alert,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#12'!V57,"OK","Send in Change Order")</f>
        <v>OK</v>
      </c>
      <c r="S57" s="85">
        <v>46</v>
      </c>
      <c r="T57" s="86" t="str">
        <f>'Request #12'!T57</f>
        <v>Other Fees</v>
      </c>
      <c r="U57" s="218">
        <f>'Request #12'!U57</f>
        <v>0</v>
      </c>
      <c r="V57" s="87">
        <f>'Request #12'!V57</f>
        <v>0</v>
      </c>
      <c r="W57" s="88">
        <f>SUMIF(F7:F79,46,E7:E79)</f>
        <v>0</v>
      </c>
      <c r="X57" s="88">
        <f>'Request #12'!Y57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#12'!AA57,"OK","Alert,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#12'!V58,"OK","Send in Change Order")</f>
        <v>OK</v>
      </c>
      <c r="S58" s="85">
        <v>47</v>
      </c>
      <c r="T58" s="86" t="str">
        <f>'Request #12'!T58</f>
        <v>Other Fees</v>
      </c>
      <c r="U58" s="218">
        <f>'Request #12'!U58</f>
        <v>0</v>
      </c>
      <c r="V58" s="87">
        <f>'Request #12'!V58</f>
        <v>0</v>
      </c>
      <c r="W58" s="88">
        <f>SUMIF(F7:F79,47,E7:E79)</f>
        <v>0</v>
      </c>
      <c r="X58" s="88">
        <f>'Request #12'!Y58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#12'!AA58,"OK","Alert,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#12'!V59,"OK","Send in Change Order")</f>
        <v>OK</v>
      </c>
      <c r="S59" s="85">
        <v>48</v>
      </c>
      <c r="T59" s="86" t="str">
        <f>'Request #12'!T59</f>
        <v>Other Fees</v>
      </c>
      <c r="U59" s="218">
        <f>'Request #12'!U59</f>
        <v>0</v>
      </c>
      <c r="V59" s="87">
        <f>'Request #12'!V59</f>
        <v>0</v>
      </c>
      <c r="W59" s="88">
        <f>SUMIF(F7:F79,48,E7:E79)</f>
        <v>0</v>
      </c>
      <c r="X59" s="88">
        <f>'Request #12'!Y59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#12'!AA59,"OK","Alert,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#12'!V60,"OK","Send in Change Order")</f>
        <v>OK</v>
      </c>
      <c r="S60" s="85">
        <v>49</v>
      </c>
      <c r="T60" s="86" t="str">
        <f>'Request #12'!T60</f>
        <v>Other Fees</v>
      </c>
      <c r="U60" s="218">
        <f>'Request #12'!U60</f>
        <v>0</v>
      </c>
      <c r="V60" s="87">
        <f>'Request #12'!V60</f>
        <v>0</v>
      </c>
      <c r="W60" s="88">
        <f>SUMIF(F7:F79,49,E7:E79)</f>
        <v>0</v>
      </c>
      <c r="X60" s="88">
        <f>'Request #12'!Y60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#12'!AA60,"OK","Alert,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#12'!V61,"OK","Send in Change Order")</f>
        <v>OK</v>
      </c>
      <c r="S61" s="85">
        <v>50</v>
      </c>
      <c r="T61" s="86" t="str">
        <f>'Request #12'!T61</f>
        <v>Other Fees</v>
      </c>
      <c r="U61" s="218">
        <f>'Request #12'!U61</f>
        <v>0</v>
      </c>
      <c r="V61" s="87">
        <f>'Request #12'!V61</f>
        <v>0</v>
      </c>
      <c r="W61" s="88">
        <f>SUMIF(F7:F79,50,E7:E79)</f>
        <v>0</v>
      </c>
      <c r="X61" s="88">
        <f>'Request #12'!Y61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#12'!AA61,"OK","Alert,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#12'!V62,"OK","Send in Change Order")</f>
        <v>OK</v>
      </c>
      <c r="S62" s="85">
        <v>51</v>
      </c>
      <c r="T62" s="86" t="str">
        <f>'Request #12'!T62</f>
        <v>Other Fees</v>
      </c>
      <c r="U62" s="218">
        <f>'Request #12'!U62</f>
        <v>0</v>
      </c>
      <c r="V62" s="87">
        <f>'Request #12'!V62</f>
        <v>0</v>
      </c>
      <c r="W62" s="88">
        <f>SUMIF(F7:F79,51,E7:E79)</f>
        <v>0</v>
      </c>
      <c r="X62" s="88">
        <f>'Request #12'!Y62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#12'!AA62,"OK","Alert,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#12'!V63,"OK","Send in Change Order")</f>
        <v>OK</v>
      </c>
      <c r="S63" s="85">
        <v>52</v>
      </c>
      <c r="T63" s="86" t="str">
        <f>'Request #12'!T63</f>
        <v>Worked Performed by Owner</v>
      </c>
      <c r="U63" s="218">
        <f>'Request #12'!U63</f>
        <v>0</v>
      </c>
      <c r="V63" s="87">
        <f>'Request #12'!V63</f>
        <v>0</v>
      </c>
      <c r="W63" s="88">
        <f>SUMIF(F7:F79,52,E7:E79)</f>
        <v>0</v>
      </c>
      <c r="X63" s="88">
        <f>'Request #12'!Y63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#12'!AA63,"OK","Alert,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#12'!V64,"OK","Send in Change Order")</f>
        <v>OK</v>
      </c>
      <c r="S64" s="85">
        <v>53</v>
      </c>
      <c r="T64" s="86" t="str">
        <f>'Request #12'!T64</f>
        <v>Equipment (Major)</v>
      </c>
      <c r="U64" s="218">
        <f>'Request #12'!U64</f>
        <v>0</v>
      </c>
      <c r="V64" s="87">
        <f>'Request #12'!V64</f>
        <v>0</v>
      </c>
      <c r="W64" s="88">
        <f>SUMIF(F7:F79,53,E7:E79)</f>
        <v>0</v>
      </c>
      <c r="X64" s="88">
        <f>'Request #12'!Y64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#12'!AA64,"OK","Alert,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#12'!V65,"OK","Send in Change Order")</f>
        <v>OK</v>
      </c>
      <c r="S65" s="85">
        <v>54</v>
      </c>
      <c r="T65" s="102" t="s">
        <v>90</v>
      </c>
      <c r="U65" s="218">
        <f>'Request #12'!U65</f>
        <v>0</v>
      </c>
      <c r="V65" s="87">
        <f>'Request #12'!V65</f>
        <v>0</v>
      </c>
      <c r="W65" s="104"/>
      <c r="X65" s="88">
        <f>'Request #12'!Y65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#12'!AA65,"OK","Alert,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#12'!V66,"OK","Send in Change Order")</f>
        <v>OK</v>
      </c>
      <c r="S66" s="85">
        <v>55</v>
      </c>
      <c r="T66" s="86"/>
      <c r="U66" s="218">
        <f>'Request #12'!U66</f>
        <v>0</v>
      </c>
      <c r="V66" s="87">
        <f>'Request #12'!V66</f>
        <v>0</v>
      </c>
      <c r="W66" s="88">
        <f>SUMIF(F7:F79,55,E7:E79)</f>
        <v>0</v>
      </c>
      <c r="X66" s="88">
        <f>'Request #12'!Y66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#12'!AA66,"OK","Alert,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#12'!V67,"OK","Send in Change Order")</f>
        <v>OK</v>
      </c>
      <c r="S67" s="85">
        <v>56</v>
      </c>
      <c r="T67" s="79"/>
      <c r="U67" s="218">
        <f>'Request #12'!U67</f>
        <v>0</v>
      </c>
      <c r="V67" s="87">
        <f>'Request #12'!V67</f>
        <v>0</v>
      </c>
      <c r="W67" s="88">
        <f>SUMIF(F7:F79,56,E7:E79)</f>
        <v>0</v>
      </c>
      <c r="X67" s="88">
        <f>'Request #12'!Y67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#12'!AA67,"OK","Alert,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#12'!V68,"OK","Send in Change Order")</f>
        <v>OK</v>
      </c>
      <c r="S68" s="316" t="s">
        <v>60</v>
      </c>
      <c r="T68" s="317"/>
      <c r="U68" s="224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#12'!AA68,"OK","Alert,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25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226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27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28" t="e">
        <f>V72/V68</f>
        <v>#DIV/0!</v>
      </c>
      <c r="V72" s="88">
        <f>V68-V74-V73</f>
        <v>0</v>
      </c>
      <c r="W72" s="87">
        <v>0</v>
      </c>
      <c r="X72" s="88">
        <f>'Request #12'!Y72</f>
        <v>0</v>
      </c>
      <c r="Y72" s="88">
        <f t="shared" ref="Y72:Y73" si="8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#12'!V73,"OK","Send in Change Order")</f>
        <v>OK</v>
      </c>
      <c r="S73" s="86" t="s">
        <v>95</v>
      </c>
      <c r="T73" s="114"/>
      <c r="U73" s="228" t="e">
        <f>V73/V68</f>
        <v>#DIV/0!</v>
      </c>
      <c r="V73" s="87">
        <f>'Request #12'!V73</f>
        <v>0</v>
      </c>
      <c r="W73" s="87">
        <v>0</v>
      </c>
      <c r="X73" s="88">
        <f>'Request #12'!Y73</f>
        <v>0</v>
      </c>
      <c r="Y73" s="88">
        <f t="shared" si="8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#12'!V74,"OK","Send in Change Order")</f>
        <v>OK</v>
      </c>
      <c r="S74" s="120" t="s">
        <v>96</v>
      </c>
      <c r="T74" s="121"/>
      <c r="U74" s="228" t="e">
        <f>V74/V68</f>
        <v>#DIV/0!</v>
      </c>
      <c r="V74" s="87">
        <f>'Request #12'!V74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221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30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30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31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221"/>
      <c r="V80" s="55"/>
      <c r="W80" s="55"/>
      <c r="X80" s="138"/>
      <c r="Y80" s="45" t="s">
        <v>108</v>
      </c>
      <c r="Z80" s="43"/>
      <c r="AA80" s="88">
        <f>'Request #12'!AA79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13</v>
      </c>
      <c r="V87" s="55"/>
      <c r="W87" s="55"/>
      <c r="X87" s="138"/>
      <c r="Y87" s="45" t="s">
        <v>108</v>
      </c>
      <c r="Z87" s="43"/>
      <c r="AA87" s="88">
        <f>'Request #12'!AA86</f>
        <v>0</v>
      </c>
      <c r="AB87" s="110"/>
    </row>
    <row r="88" spans="1:28" ht="30" customHeight="1" thickBot="1" x14ac:dyDescent="0.35">
      <c r="S88" s="55"/>
      <c r="T88" s="55"/>
      <c r="U88" s="221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221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221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221"/>
      <c r="V91" s="55"/>
      <c r="W91" s="55"/>
      <c r="X91" s="55"/>
    </row>
    <row r="92" spans="1:28" ht="30" customHeight="1" x14ac:dyDescent="0.3">
      <c r="S92" s="55"/>
      <c r="T92" s="55"/>
      <c r="U92" s="221"/>
      <c r="V92" s="55"/>
      <c r="W92" s="55"/>
      <c r="X92" s="55"/>
    </row>
    <row r="93" spans="1:28" ht="30" customHeight="1" x14ac:dyDescent="0.3">
      <c r="S93" s="55"/>
      <c r="T93" s="55"/>
      <c r="U93" s="221"/>
      <c r="V93" s="55"/>
      <c r="W93" s="55"/>
      <c r="X93" s="55"/>
    </row>
    <row r="94" spans="1:28" ht="30" customHeight="1" x14ac:dyDescent="0.3">
      <c r="S94" s="55"/>
      <c r="T94" s="55"/>
      <c r="U94" s="221"/>
      <c r="V94" s="55"/>
      <c r="W94" s="55"/>
      <c r="X94" s="55"/>
    </row>
    <row r="95" spans="1:28" ht="30" customHeight="1" x14ac:dyDescent="0.3">
      <c r="S95" s="55"/>
      <c r="T95" s="55"/>
      <c r="U95" s="221"/>
      <c r="V95" s="55"/>
      <c r="W95" s="55"/>
      <c r="X95" s="55"/>
    </row>
    <row r="96" spans="1:28" ht="30" customHeight="1" x14ac:dyDescent="0.3">
      <c r="S96" s="55"/>
      <c r="T96" s="55"/>
      <c r="U96" s="221"/>
      <c r="V96" s="55"/>
      <c r="W96" s="55"/>
      <c r="X96" s="55"/>
    </row>
    <row r="97" spans="15:24" ht="30" customHeight="1" x14ac:dyDescent="0.3">
      <c r="S97" s="55"/>
      <c r="T97" s="55"/>
      <c r="U97" s="221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9NRZ809VVHR0NnT3tDhp4BayIpzbcB9YG+tH8ojLPwIhEOWXzatIDIeTbBbnxvu1F98WujbSbcexKPiAW4fBsg==" saltValue="IAWABPK3Hnr2xStwQqNprQ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323" priority="10" operator="containsText" text="Change">
      <formula>NOT(ISERROR(SEARCH("Change",R1)))</formula>
    </cfRule>
  </conditionalFormatting>
  <conditionalFormatting sqref="R45:R48">
    <cfRule type="cellIs" dxfId="322" priority="7" operator="equal">
      <formula>"Send in Change Order"</formula>
    </cfRule>
  </conditionalFormatting>
  <conditionalFormatting sqref="W68">
    <cfRule type="cellIs" dxfId="321" priority="2" operator="notEqual">
      <formula>$E$82</formula>
    </cfRule>
    <cfRule type="cellIs" dxfId="320" priority="3" operator="greaterThan">
      <formula>$E$82</formula>
    </cfRule>
    <cfRule type="cellIs" dxfId="319" priority="4" operator="notEqual">
      <formula>$E$82</formula>
    </cfRule>
  </conditionalFormatting>
  <conditionalFormatting sqref="Z12:Z44">
    <cfRule type="cellIs" dxfId="318" priority="8" operator="lessThan">
      <formula>0</formula>
    </cfRule>
  </conditionalFormatting>
  <conditionalFormatting sqref="Z49:Z68">
    <cfRule type="cellIs" dxfId="317" priority="5" operator="lessThan">
      <formula>0</formula>
    </cfRule>
  </conditionalFormatting>
  <conditionalFormatting sqref="AA68">
    <cfRule type="cellIs" dxfId="316" priority="1" operator="notEqual">
      <formula>$O$82</formula>
    </cfRule>
  </conditionalFormatting>
  <conditionalFormatting sqref="AB1:AB1048576">
    <cfRule type="containsText" dxfId="315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2" manualBreakCount="12">
    <brk id="6" max="89" man="1"/>
    <brk id="10" max="1048575" man="1"/>
    <brk id="16" max="89" man="1"/>
    <brk id="18" max="1048575" man="1"/>
    <brk id="27" max="89" man="1"/>
    <brk id="29" max="1048575" man="1"/>
    <brk id="51" max="1048575" man="1"/>
    <brk id="52" max="1048575" man="1"/>
    <brk id="99" max="1048575" man="1"/>
    <brk id="101" max="1048575" man="1"/>
    <brk id="110" max="1048575" man="1"/>
    <brk id="11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135"/>
  <sheetViews>
    <sheetView view="pageBreakPreview" topLeftCell="P67" zoomScale="60" zoomScaleNormal="100" workbookViewId="0">
      <selection activeCell="AB87" sqref="AB87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4414062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44140625" style="50" customWidth="1"/>
    <col min="19" max="19" width="5.88671875" style="39" customWidth="1"/>
    <col min="20" max="20" width="31.109375" style="39" customWidth="1"/>
    <col min="21" max="21" width="17.77734375" style="219" customWidth="1"/>
    <col min="22" max="27" width="18.88671875" style="39" customWidth="1"/>
    <col min="28" max="28" width="24.77734375" style="54" customWidth="1"/>
    <col min="29" max="29" width="8.88671875" style="40"/>
    <col min="30" max="30" width="16" style="39" customWidth="1"/>
    <col min="31" max="31" width="103.21875" style="39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220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14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220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220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221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22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23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14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218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#13'!V12,"OK","Send in Change Order")</f>
        <v>OK</v>
      </c>
      <c r="S12" s="85">
        <v>1</v>
      </c>
      <c r="T12" s="86" t="str">
        <f>'Request #13'!T12</f>
        <v>Land/Site Grading &amp; Improv.</v>
      </c>
      <c r="U12" s="218">
        <f>'Request #13'!U12</f>
        <v>0</v>
      </c>
      <c r="V12" s="87">
        <f>'Request #13'!V12</f>
        <v>0</v>
      </c>
      <c r="W12" s="88">
        <f>SUMIF(F7:F79,1,E7:E79)</f>
        <v>0</v>
      </c>
      <c r="X12" s="88">
        <f>'Request #13'!Y12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#13'!AA12,"OK","Alert,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#13'!V13,"OK","Send in Change Order")</f>
        <v>OK</v>
      </c>
      <c r="S13" s="85">
        <v>2</v>
      </c>
      <c r="T13" s="86" t="str">
        <f>'Request #13'!T13</f>
        <v xml:space="preserve">General Contract </v>
      </c>
      <c r="U13" s="218">
        <f>'Request #13'!U13</f>
        <v>0</v>
      </c>
      <c r="V13" s="87">
        <f>'Request #13'!V13</f>
        <v>0</v>
      </c>
      <c r="W13" s="88">
        <f>SUMIF(F7:F79,2,E7:E79)</f>
        <v>0</v>
      </c>
      <c r="X13" s="88">
        <f>'Request #13'!Y13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#13'!AA13,"OK","Alert,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#13'!V14,"OK","Send in Change Order")</f>
        <v>OK</v>
      </c>
      <c r="S14" s="85">
        <v>3</v>
      </c>
      <c r="T14" s="86" t="str">
        <f>'Request #13'!T14</f>
        <v>Designer Contract</v>
      </c>
      <c r="U14" s="218">
        <f>'Request #13'!U14</f>
        <v>0</v>
      </c>
      <c r="V14" s="87">
        <f>'Request #13'!V14</f>
        <v>0</v>
      </c>
      <c r="W14" s="88">
        <f>SUMIF(F7:F79,3,E7:E79)</f>
        <v>0</v>
      </c>
      <c r="X14" s="88">
        <f>'Request #13'!Y14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#13'!AA14,"OK","Alert,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#13'!V15,"OK","Send in Change Order")</f>
        <v>OK</v>
      </c>
      <c r="S15" s="85">
        <v>4</v>
      </c>
      <c r="T15" s="86" t="str">
        <f>'Request #13'!T15</f>
        <v>Designer Reimbursables</v>
      </c>
      <c r="U15" s="218">
        <f>'Request #13'!U15</f>
        <v>0</v>
      </c>
      <c r="V15" s="87">
        <f>'Request #13'!V15</f>
        <v>0</v>
      </c>
      <c r="W15" s="88">
        <f>SUMIF(F7:F79,4,E7:E79)</f>
        <v>0</v>
      </c>
      <c r="X15" s="88">
        <f>'Request #13'!Y15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#13'!AA15,"OK","Alert,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#13'!V16,"OK","Send in Change Order")</f>
        <v>OK</v>
      </c>
      <c r="S16" s="85">
        <v>5</v>
      </c>
      <c r="T16" s="86" t="str">
        <f>'Request #13'!T16</f>
        <v>Other Contracts</v>
      </c>
      <c r="U16" s="218">
        <f>'Request #13'!U16</f>
        <v>0</v>
      </c>
      <c r="V16" s="87">
        <f>'Request #13'!V16</f>
        <v>0</v>
      </c>
      <c r="W16" s="88">
        <f>SUMIF(F7:F79,5,E7:E79)</f>
        <v>0</v>
      </c>
      <c r="X16" s="88">
        <f>'Request #13'!Y16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#13'!AA16,"OK","Alert,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#13'!V17,"OK","Send in Change Order")</f>
        <v>OK</v>
      </c>
      <c r="S17" s="85">
        <v>6</v>
      </c>
      <c r="T17" s="86" t="str">
        <f>'Request #13'!T17</f>
        <v>Other Contracts</v>
      </c>
      <c r="U17" s="218">
        <f>'Request #13'!U17</f>
        <v>0</v>
      </c>
      <c r="V17" s="87">
        <f>'Request #13'!V17</f>
        <v>0</v>
      </c>
      <c r="W17" s="88">
        <f>SUMIF(F7:F79,6,E7:E79)</f>
        <v>0</v>
      </c>
      <c r="X17" s="88">
        <f>'Request #13'!Y17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#13'!AA17,"OK","Alert,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#13'!V18,"OK","Send in Change Order")</f>
        <v>OK</v>
      </c>
      <c r="S18" s="85">
        <v>7</v>
      </c>
      <c r="T18" s="86" t="str">
        <f>'Request #13'!T18</f>
        <v>Other Contracts</v>
      </c>
      <c r="U18" s="218">
        <f>'Request #13'!U18</f>
        <v>0</v>
      </c>
      <c r="V18" s="87">
        <f>'Request #13'!V18</f>
        <v>0</v>
      </c>
      <c r="W18" s="88">
        <f>SUMIF(F7:F79,7,E7:E79)</f>
        <v>0</v>
      </c>
      <c r="X18" s="88">
        <f>'Request #13'!Y18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#13'!AA18,"OK","Alert,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#13'!V19,"OK","Send in Change Order")</f>
        <v>OK</v>
      </c>
      <c r="S19" s="85">
        <v>8</v>
      </c>
      <c r="T19" s="86" t="str">
        <f>'Request #13'!T19</f>
        <v>Other Contracts</v>
      </c>
      <c r="U19" s="218">
        <f>'Request #13'!U19</f>
        <v>0</v>
      </c>
      <c r="V19" s="87">
        <f>'Request #13'!V19</f>
        <v>0</v>
      </c>
      <c r="W19" s="88">
        <f>SUMIF(F7:F79,8,E7:E79)</f>
        <v>0</v>
      </c>
      <c r="X19" s="88">
        <f>'Request #13'!Y19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#13'!AA19,"OK","Alert,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#13'!V20,"OK","Send in Change Order")</f>
        <v>OK</v>
      </c>
      <c r="S20" s="85">
        <v>9</v>
      </c>
      <c r="T20" s="86" t="str">
        <f>'Request #13'!T20</f>
        <v>Other Contracts</v>
      </c>
      <c r="U20" s="218">
        <f>'Request #13'!U20</f>
        <v>0</v>
      </c>
      <c r="V20" s="87">
        <f>'Request #13'!V20</f>
        <v>0</v>
      </c>
      <c r="W20" s="88">
        <f>SUMIF(F7:F79,9,E7:E79)</f>
        <v>0</v>
      </c>
      <c r="X20" s="88">
        <f>'Request #13'!Y20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#13'!AA20,"OK","Alert,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#13'!V21,"OK","Send in Change Order")</f>
        <v>OK</v>
      </c>
      <c r="S21" s="85">
        <v>10</v>
      </c>
      <c r="T21" s="86" t="str">
        <f>'Request #13'!T21</f>
        <v>Other Contracts</v>
      </c>
      <c r="U21" s="218">
        <f>'Request #13'!U21</f>
        <v>0</v>
      </c>
      <c r="V21" s="87">
        <f>'Request #13'!V21</f>
        <v>0</v>
      </c>
      <c r="W21" s="88">
        <f>SUMIF(F7:F79,10,E7:E79)</f>
        <v>0</v>
      </c>
      <c r="X21" s="88">
        <f>'Request #13'!Y21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#13'!AA21,"OK","Alert,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#13'!V22,"OK","Send in Change Order")</f>
        <v>OK</v>
      </c>
      <c r="S22" s="85">
        <v>11</v>
      </c>
      <c r="T22" s="86" t="str">
        <f>'Request #13'!T22</f>
        <v>Other Contracts</v>
      </c>
      <c r="U22" s="218">
        <f>'Request #13'!U22</f>
        <v>0</v>
      </c>
      <c r="V22" s="87">
        <f>'Request #13'!V22</f>
        <v>0</v>
      </c>
      <c r="W22" s="88">
        <f>SUMIF(F7:F79,11,E7:E79)</f>
        <v>0</v>
      </c>
      <c r="X22" s="88">
        <f>'Request #13'!Y22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#13'!AA22,"OK","Alert,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#13'!V23,"OK","Send in Change Order")</f>
        <v>OK</v>
      </c>
      <c r="S23" s="85">
        <v>12</v>
      </c>
      <c r="T23" s="86" t="str">
        <f>'Request #13'!T23</f>
        <v>Other Contracts</v>
      </c>
      <c r="U23" s="218">
        <f>'Request #13'!U23</f>
        <v>0</v>
      </c>
      <c r="V23" s="87">
        <f>'Request #13'!V23</f>
        <v>0</v>
      </c>
      <c r="W23" s="88">
        <f>SUMIF(F7:F79,12,E7:E79)</f>
        <v>0</v>
      </c>
      <c r="X23" s="88">
        <f>'Request #13'!Y23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#13'!AA23,"OK","Alert,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#13'!V24,"OK","Send in Change Order")</f>
        <v>OK</v>
      </c>
      <c r="S24" s="85">
        <v>13</v>
      </c>
      <c r="T24" s="86" t="str">
        <f>'Request #13'!T24</f>
        <v>Other Contracts</v>
      </c>
      <c r="U24" s="218">
        <f>'Request #13'!U24</f>
        <v>0</v>
      </c>
      <c r="V24" s="87">
        <f>'Request #13'!V24</f>
        <v>0</v>
      </c>
      <c r="W24" s="88">
        <f>SUMIF(F7:F79,13,E7:E79)</f>
        <v>0</v>
      </c>
      <c r="X24" s="88">
        <f>'Request #13'!Y24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#13'!AA24,"OK","Alert,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#13'!V25,"OK","Send in Change Order")</f>
        <v>OK</v>
      </c>
      <c r="S25" s="85">
        <v>14</v>
      </c>
      <c r="T25" s="86" t="str">
        <f>'Request #13'!T25</f>
        <v>Other Contracts</v>
      </c>
      <c r="U25" s="218">
        <f>'Request #13'!U25</f>
        <v>0</v>
      </c>
      <c r="V25" s="87">
        <f>'Request #13'!V25</f>
        <v>0</v>
      </c>
      <c r="W25" s="88">
        <f>SUMIF(F7:F79,14,E7:E79)</f>
        <v>0</v>
      </c>
      <c r="X25" s="88">
        <f>'Request #13'!Y25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#13'!AA25,"OK","Alert,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#13'!V26,"OK","Send in Change Order")</f>
        <v>OK</v>
      </c>
      <c r="S26" s="85">
        <v>15</v>
      </c>
      <c r="T26" s="86" t="str">
        <f>'Request #13'!T26</f>
        <v>Other Contracts</v>
      </c>
      <c r="U26" s="218">
        <f>'Request #13'!U26</f>
        <v>0</v>
      </c>
      <c r="V26" s="87">
        <f>'Request #13'!V26</f>
        <v>0</v>
      </c>
      <c r="W26" s="88">
        <f>SUMIF(F7:F79,15,E7:E79)</f>
        <v>0</v>
      </c>
      <c r="X26" s="88">
        <f>'Request #13'!Y26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#13'!AA26,"OK","Alert,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#13'!V27,"OK","Send in Change Order")</f>
        <v>OK</v>
      </c>
      <c r="S27" s="85">
        <v>16</v>
      </c>
      <c r="T27" s="86" t="str">
        <f>'Request #13'!T27</f>
        <v>Other Contracts</v>
      </c>
      <c r="U27" s="218">
        <f>'Request #13'!U27</f>
        <v>0</v>
      </c>
      <c r="V27" s="87">
        <f>'Request #13'!V27</f>
        <v>0</v>
      </c>
      <c r="W27" s="88">
        <f>SUMIF(F7:F79,16,E7:E79)</f>
        <v>0</v>
      </c>
      <c r="X27" s="88">
        <f>'Request #13'!Y27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#13'!AA27,"OK","Alert,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#13'!V28,"OK","Send in Change Order")</f>
        <v>OK</v>
      </c>
      <c r="S28" s="85">
        <v>17</v>
      </c>
      <c r="T28" s="86" t="str">
        <f>'Request #13'!T28</f>
        <v>Other Contracts</v>
      </c>
      <c r="U28" s="218">
        <f>'Request #13'!U28</f>
        <v>0</v>
      </c>
      <c r="V28" s="87">
        <f>'Request #13'!V28</f>
        <v>0</v>
      </c>
      <c r="W28" s="88">
        <f>SUMIF(F7:F79,17,E7:E79)</f>
        <v>0</v>
      </c>
      <c r="X28" s="88">
        <f>'Request #13'!Y28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#13'!AA28,"OK","Alert,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#13'!V29,"OK","Send in Change Order")</f>
        <v>OK</v>
      </c>
      <c r="S29" s="85">
        <v>18</v>
      </c>
      <c r="T29" s="86" t="str">
        <f>'Request #13'!T29</f>
        <v>Other Contracts</v>
      </c>
      <c r="U29" s="218">
        <f>'Request #13'!U29</f>
        <v>0</v>
      </c>
      <c r="V29" s="87">
        <f>'Request #13'!V29</f>
        <v>0</v>
      </c>
      <c r="W29" s="88">
        <f>SUMIF(F7:F79,18,E7:E79)</f>
        <v>0</v>
      </c>
      <c r="X29" s="88">
        <f>'Request #13'!Y29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#13'!AA29,"OK","Alert,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#13'!V30,"OK","Send in Change Order")</f>
        <v>OK</v>
      </c>
      <c r="S30" s="85">
        <v>19</v>
      </c>
      <c r="T30" s="86" t="str">
        <f>'Request #13'!T30</f>
        <v>Other Contracts</v>
      </c>
      <c r="U30" s="218">
        <f>'Request #13'!U30</f>
        <v>0</v>
      </c>
      <c r="V30" s="87">
        <f>'Request #13'!V30</f>
        <v>0</v>
      </c>
      <c r="W30" s="88">
        <f>SUMIF(F7:F79,19,E7:E79)</f>
        <v>0</v>
      </c>
      <c r="X30" s="88">
        <f>'Request #13'!Y30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#13'!AA30,"OK","Alert,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#13'!V31,"OK","Send in Change Order")</f>
        <v>OK</v>
      </c>
      <c r="S31" s="85">
        <v>20</v>
      </c>
      <c r="T31" s="86" t="str">
        <f>'Request #13'!T31</f>
        <v>Other Contracts</v>
      </c>
      <c r="U31" s="218">
        <f>'Request #13'!U31</f>
        <v>0</v>
      </c>
      <c r="V31" s="87">
        <f>'Request #13'!V31</f>
        <v>0</v>
      </c>
      <c r="W31" s="88">
        <f>SUMIF(F7:F79,20,E7:E79)</f>
        <v>0</v>
      </c>
      <c r="X31" s="88">
        <f>'Request #13'!Y31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#13'!AA31,"OK","Alert,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#13'!V32,"OK","Send in Change Order")</f>
        <v>OK</v>
      </c>
      <c r="S32" s="85">
        <v>21</v>
      </c>
      <c r="T32" s="86" t="str">
        <f>'Request #13'!T32</f>
        <v>Other Contracts</v>
      </c>
      <c r="U32" s="218">
        <f>'Request #13'!U32</f>
        <v>0</v>
      </c>
      <c r="V32" s="87">
        <f>'Request #13'!V32</f>
        <v>0</v>
      </c>
      <c r="W32" s="88">
        <f>SUMIF(F7:F79,21,E7:E79)</f>
        <v>0</v>
      </c>
      <c r="X32" s="88">
        <f>'Request #13'!Y32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#13'!AA32,"OK","Alert,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#13'!V33,"OK","Send in Change Order")</f>
        <v>OK</v>
      </c>
      <c r="S33" s="85">
        <v>22</v>
      </c>
      <c r="T33" s="86" t="str">
        <f>'Request #13'!T33</f>
        <v>Other Contracts</v>
      </c>
      <c r="U33" s="218">
        <f>'Request #13'!U33</f>
        <v>0</v>
      </c>
      <c r="V33" s="87">
        <f>'Request #13'!V33</f>
        <v>0</v>
      </c>
      <c r="W33" s="88">
        <f>SUMIF(F7:F79,22,E7:E79)</f>
        <v>0</v>
      </c>
      <c r="X33" s="88">
        <f>'Request #13'!Y33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#13'!AA33,"OK","Alert,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#13'!V34,"OK","Send in Change Order")</f>
        <v>OK</v>
      </c>
      <c r="S34" s="85">
        <v>23</v>
      </c>
      <c r="T34" s="86" t="str">
        <f>'Request #13'!T34</f>
        <v>Other Contracts</v>
      </c>
      <c r="U34" s="218">
        <f>'Request #13'!U34</f>
        <v>0</v>
      </c>
      <c r="V34" s="87">
        <f>'Request #13'!V34</f>
        <v>0</v>
      </c>
      <c r="W34" s="88">
        <f>SUMIF(F7:F79,23,E7:E79)</f>
        <v>0</v>
      </c>
      <c r="X34" s="88">
        <f>'Request #13'!Y34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#13'!AA34,"OK","Alert,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#13'!V35,"OK","Send in Change Order")</f>
        <v>OK</v>
      </c>
      <c r="S35" s="85">
        <v>24</v>
      </c>
      <c r="T35" s="86" t="str">
        <f>'Request #13'!T35</f>
        <v>Other Contracts</v>
      </c>
      <c r="U35" s="218">
        <f>'Request #13'!U35</f>
        <v>0</v>
      </c>
      <c r="V35" s="87">
        <f>'Request #13'!V35</f>
        <v>0</v>
      </c>
      <c r="W35" s="88">
        <f>SUMIF(F7:F79,24,E7:E79)</f>
        <v>0</v>
      </c>
      <c r="X35" s="88">
        <f>'Request #13'!Y35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#13'!AA35,"OK","Alert,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#13'!V36,"OK","Send in Change Order")</f>
        <v>OK</v>
      </c>
      <c r="S36" s="85">
        <v>25</v>
      </c>
      <c r="T36" s="86" t="str">
        <f>'Request #13'!T36</f>
        <v>Other Contracts</v>
      </c>
      <c r="U36" s="218">
        <f>'Request #13'!U36</f>
        <v>0</v>
      </c>
      <c r="V36" s="87">
        <f>'Request #13'!V36</f>
        <v>0</v>
      </c>
      <c r="W36" s="88">
        <f>SUMIF(F7:F79,25,E7:E79)</f>
        <v>0</v>
      </c>
      <c r="X36" s="88">
        <f>'Request #13'!Y36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#13'!AA36,"OK","Alert,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#13'!V37,"OK","Send in Change Order")</f>
        <v>OK</v>
      </c>
      <c r="S37" s="85">
        <v>26</v>
      </c>
      <c r="T37" s="86" t="str">
        <f>'Request #13'!T37</f>
        <v>Other Fees</v>
      </c>
      <c r="U37" s="218">
        <f>'Request #13'!U37</f>
        <v>0</v>
      </c>
      <c r="V37" s="87">
        <f>'Request #13'!V37</f>
        <v>0</v>
      </c>
      <c r="W37" s="88">
        <f>SUMIF(F7:F79,26,E7:E79)</f>
        <v>0</v>
      </c>
      <c r="X37" s="88">
        <f>'Request #13'!Y37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#13'!AA37,"OK","Alert,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#13'!V38,"OK","Send in Change Order")</f>
        <v>OK</v>
      </c>
      <c r="S38" s="85">
        <v>27</v>
      </c>
      <c r="T38" s="86" t="str">
        <f>'Request #13'!T38</f>
        <v>Other Fees</v>
      </c>
      <c r="U38" s="218">
        <f>'Request #13'!U38</f>
        <v>0</v>
      </c>
      <c r="V38" s="87">
        <f>'Request #13'!V38</f>
        <v>0</v>
      </c>
      <c r="W38" s="88">
        <f>SUMIF(F7:F79,27,E7:E79)</f>
        <v>0</v>
      </c>
      <c r="X38" s="88">
        <f>'Request #13'!Y38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#13'!AA38,"OK","Alert,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#13'!V39,"OK","Send in Change Order")</f>
        <v>OK</v>
      </c>
      <c r="S39" s="85">
        <v>28</v>
      </c>
      <c r="T39" s="86" t="str">
        <f>'Request #13'!T39</f>
        <v>Other Fees</v>
      </c>
      <c r="U39" s="218">
        <f>'Request #13'!U39</f>
        <v>0</v>
      </c>
      <c r="V39" s="87">
        <f>'Request #13'!V39</f>
        <v>0</v>
      </c>
      <c r="W39" s="88">
        <f>SUMIF(F7:F79,28,E7:E79)</f>
        <v>0</v>
      </c>
      <c r="X39" s="88">
        <f>'Request #13'!Y39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#13'!AA39,"OK","Alert,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#13'!V40,"OK","Send in Change Order")</f>
        <v>OK</v>
      </c>
      <c r="S40" s="85">
        <v>29</v>
      </c>
      <c r="T40" s="86" t="str">
        <f>'Request #13'!T40</f>
        <v>Other Fees</v>
      </c>
      <c r="U40" s="218">
        <f>'Request #13'!U40</f>
        <v>0</v>
      </c>
      <c r="V40" s="87">
        <f>'Request #13'!V40</f>
        <v>0</v>
      </c>
      <c r="W40" s="88">
        <f>SUMIF(F7:F79,29,E7:E79)</f>
        <v>0</v>
      </c>
      <c r="X40" s="88">
        <f>'Request #13'!Y40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#13'!AA40,"OK","Alert,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#13'!V41,"OK","Send in Change Order")</f>
        <v>OK</v>
      </c>
      <c r="S41" s="85">
        <v>30</v>
      </c>
      <c r="T41" s="86" t="str">
        <f>'Request #13'!T41</f>
        <v>Other Fees</v>
      </c>
      <c r="U41" s="218">
        <f>'Request #13'!U41</f>
        <v>0</v>
      </c>
      <c r="V41" s="87">
        <f>'Request #13'!V41</f>
        <v>0</v>
      </c>
      <c r="W41" s="88">
        <f>SUMIF(F7:F79,30,E7:E79)</f>
        <v>0</v>
      </c>
      <c r="X41" s="88">
        <f>'Request #13'!Y41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#13'!AA41,"OK","Alert,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#13'!V42,"OK","Send in Change Order")</f>
        <v>OK</v>
      </c>
      <c r="S42" s="85">
        <v>31</v>
      </c>
      <c r="T42" s="86" t="str">
        <f>'Request #13'!T42</f>
        <v>Other Fees</v>
      </c>
      <c r="U42" s="218">
        <f>'Request #13'!U42</f>
        <v>0</v>
      </c>
      <c r="V42" s="87">
        <f>'Request #13'!V42</f>
        <v>0</v>
      </c>
      <c r="W42" s="88">
        <f>SUMIF(F7:F79,31,E7:E79)</f>
        <v>0</v>
      </c>
      <c r="X42" s="88">
        <f>'Request #13'!Y42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#13'!AA42,"OK","Alert,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#13'!V43,"OK","Send in Change Order")</f>
        <v>OK</v>
      </c>
      <c r="S43" s="85">
        <v>32</v>
      </c>
      <c r="T43" s="86" t="str">
        <f>'Request #13'!T43</f>
        <v>Other Fees</v>
      </c>
      <c r="U43" s="218">
        <f>'Request #13'!U43</f>
        <v>0</v>
      </c>
      <c r="V43" s="87">
        <f>'Request #13'!V43</f>
        <v>0</v>
      </c>
      <c r="W43" s="88">
        <f>SUMIF(F7:F79,32,E7:E79)</f>
        <v>0</v>
      </c>
      <c r="X43" s="88">
        <f>'Request #13'!Y43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#13'!AA43,"OK","Alert,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#13'!V44,"OK","Send in Change Order")</f>
        <v>OK</v>
      </c>
      <c r="S44" s="85">
        <v>33</v>
      </c>
      <c r="T44" s="86" t="str">
        <f>'Request #13'!T44</f>
        <v>Other Fees</v>
      </c>
      <c r="U44" s="218">
        <f>'Request #13'!U44</f>
        <v>0</v>
      </c>
      <c r="V44" s="87">
        <f>'Request #13'!V44</f>
        <v>0</v>
      </c>
      <c r="W44" s="88">
        <f>SUMIF(F7:F79,33,E7:E79)</f>
        <v>0</v>
      </c>
      <c r="X44" s="88">
        <f>'Request #13'!Y44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#13'!AA44,"OK","Alert,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#13'!V49,"OK","Send in Change Order")</f>
        <v>OK</v>
      </c>
      <c r="S49" s="85">
        <v>38</v>
      </c>
      <c r="T49" s="86" t="str">
        <f>'Request #13'!T49</f>
        <v>Other Fees</v>
      </c>
      <c r="U49" s="218">
        <f>'Request #13'!U49</f>
        <v>0</v>
      </c>
      <c r="V49" s="87">
        <f>'Request #13'!V49</f>
        <v>0</v>
      </c>
      <c r="W49" s="88">
        <f>SUMIF(F7:F79,38,E7:E79)</f>
        <v>0</v>
      </c>
      <c r="X49" s="88">
        <f>'Request #13'!Y49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#13'!AA49,"OK","Alert,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#13'!V50,"OK","Send in Change Order")</f>
        <v>OK</v>
      </c>
      <c r="S50" s="85">
        <v>39</v>
      </c>
      <c r="T50" s="86" t="str">
        <f>'Request #13'!T50</f>
        <v>Other Fees</v>
      </c>
      <c r="U50" s="218">
        <f>'Request #13'!U50</f>
        <v>0</v>
      </c>
      <c r="V50" s="87">
        <f>'Request #13'!V50</f>
        <v>0</v>
      </c>
      <c r="W50" s="88">
        <f>SUMIF(F7:F79,39,E7:E79)</f>
        <v>0</v>
      </c>
      <c r="X50" s="88">
        <f>'Request #13'!Y50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#13'!AA50,"OK","Alert,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#13'!V51,"OK","Send in Change Order")</f>
        <v>OK</v>
      </c>
      <c r="S51" s="85">
        <v>40</v>
      </c>
      <c r="T51" s="86" t="str">
        <f>'Request #13'!T51</f>
        <v>Other Fees</v>
      </c>
      <c r="U51" s="218">
        <f>'Request #13'!U51</f>
        <v>0</v>
      </c>
      <c r="V51" s="87">
        <f>'Request #13'!V51</f>
        <v>0</v>
      </c>
      <c r="W51" s="88">
        <f>SUMIF(F7:F79,40,E7:E79)</f>
        <v>0</v>
      </c>
      <c r="X51" s="88">
        <f>'Request #13'!Y51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#13'!AA51,"OK","Alert,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#13'!V52,"OK","Send in Change Order")</f>
        <v>OK</v>
      </c>
      <c r="S52" s="85">
        <v>41</v>
      </c>
      <c r="T52" s="86" t="str">
        <f>'Request #13'!T52</f>
        <v>Other Fees</v>
      </c>
      <c r="U52" s="218">
        <f>'Request #13'!U52</f>
        <v>0</v>
      </c>
      <c r="V52" s="87">
        <f>'Request #13'!V52</f>
        <v>0</v>
      </c>
      <c r="W52" s="88">
        <f>SUMIF(F7:F79,41,E7:E79)</f>
        <v>0</v>
      </c>
      <c r="X52" s="88">
        <f>'Request #13'!Y52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#13'!AA52,"OK","Alert,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#13'!V53,"OK","Send in Change Order")</f>
        <v>OK</v>
      </c>
      <c r="S53" s="85">
        <v>42</v>
      </c>
      <c r="T53" s="86" t="str">
        <f>'Request #13'!T53</f>
        <v>Other Fees</v>
      </c>
      <c r="U53" s="218">
        <f>'Request #13'!U53</f>
        <v>0</v>
      </c>
      <c r="V53" s="87">
        <f>'Request #13'!V53</f>
        <v>0</v>
      </c>
      <c r="W53" s="88">
        <f>SUMIF(F7:F79,42,E7:E79)</f>
        <v>0</v>
      </c>
      <c r="X53" s="88">
        <f>'Request #13'!Y53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#13'!AA53,"OK","Alert,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#13'!V54,"OK","Send in Change Order")</f>
        <v>OK</v>
      </c>
      <c r="S54" s="85">
        <v>43</v>
      </c>
      <c r="T54" s="86" t="str">
        <f>'Request #13'!T54</f>
        <v>Other Fees</v>
      </c>
      <c r="U54" s="218">
        <f>'Request #13'!U54</f>
        <v>0</v>
      </c>
      <c r="V54" s="87">
        <f>'Request #13'!V54</f>
        <v>0</v>
      </c>
      <c r="W54" s="88">
        <f>SUMIF(F7:F79,43,E7:E79)</f>
        <v>0</v>
      </c>
      <c r="X54" s="88">
        <f>'Request #13'!Y54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#13'!AA54,"OK","Alert,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#13'!V55,"OK","Send in Change Order")</f>
        <v>OK</v>
      </c>
      <c r="S55" s="85">
        <v>44</v>
      </c>
      <c r="T55" s="86" t="str">
        <f>'Request #13'!T55</f>
        <v>Other Fees</v>
      </c>
      <c r="U55" s="218">
        <f>'Request #13'!U55</f>
        <v>0</v>
      </c>
      <c r="V55" s="87">
        <f>'Request #13'!V55</f>
        <v>0</v>
      </c>
      <c r="W55" s="88">
        <f>SUMIF(F7:F79,44,E7:E79)</f>
        <v>0</v>
      </c>
      <c r="X55" s="88">
        <f>'Request #13'!Y55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#13'!AA55,"OK","Alert,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#13'!V56,"OK","Send in Change Order")</f>
        <v>OK</v>
      </c>
      <c r="S56" s="85">
        <v>45</v>
      </c>
      <c r="T56" s="86" t="str">
        <f>'Request #13'!T56</f>
        <v>Other Fees</v>
      </c>
      <c r="U56" s="218">
        <f>'Request #13'!U56</f>
        <v>0</v>
      </c>
      <c r="V56" s="87">
        <f>'Request #13'!V56</f>
        <v>0</v>
      </c>
      <c r="W56" s="88">
        <f>SUMIF(F7:F79,45,E7:E79)</f>
        <v>0</v>
      </c>
      <c r="X56" s="88">
        <f>'Request #13'!Y56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#13'!AA56,"OK","Alert,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#13'!V57,"OK","Send in Change Order")</f>
        <v>OK</v>
      </c>
      <c r="S57" s="85">
        <v>46</v>
      </c>
      <c r="T57" s="86" t="str">
        <f>'Request #13'!T57</f>
        <v>Other Fees</v>
      </c>
      <c r="U57" s="218">
        <f>'Request #13'!U57</f>
        <v>0</v>
      </c>
      <c r="V57" s="87">
        <f>'Request #13'!V57</f>
        <v>0</v>
      </c>
      <c r="W57" s="88">
        <f>SUMIF(F7:F79,46,E7:E79)</f>
        <v>0</v>
      </c>
      <c r="X57" s="88">
        <f>'Request #13'!Y57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#13'!AA57,"OK","Alert,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#13'!V58,"OK","Send in Change Order")</f>
        <v>OK</v>
      </c>
      <c r="S58" s="85">
        <v>47</v>
      </c>
      <c r="T58" s="86" t="str">
        <f>'Request #13'!T58</f>
        <v>Other Fees</v>
      </c>
      <c r="U58" s="218">
        <f>'Request #13'!U58</f>
        <v>0</v>
      </c>
      <c r="V58" s="87">
        <f>'Request #13'!V58</f>
        <v>0</v>
      </c>
      <c r="W58" s="88">
        <f>SUMIF(F7:F79,47,E7:E79)</f>
        <v>0</v>
      </c>
      <c r="X58" s="88">
        <f>'Request #13'!Y58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#13'!AA58,"OK","Alert,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#13'!V59,"OK","Send in Change Order")</f>
        <v>OK</v>
      </c>
      <c r="S59" s="85">
        <v>48</v>
      </c>
      <c r="T59" s="86" t="str">
        <f>'Request #13'!T59</f>
        <v>Other Fees</v>
      </c>
      <c r="U59" s="218">
        <f>'Request #13'!U59</f>
        <v>0</v>
      </c>
      <c r="V59" s="87">
        <f>'Request #13'!V59</f>
        <v>0</v>
      </c>
      <c r="W59" s="88">
        <f>SUMIF(F7:F79,48,E7:E79)</f>
        <v>0</v>
      </c>
      <c r="X59" s="88">
        <f>'Request #13'!Y59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#13'!AA59,"OK","Alert,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#13'!V60,"OK","Send in Change Order")</f>
        <v>OK</v>
      </c>
      <c r="S60" s="85">
        <v>49</v>
      </c>
      <c r="T60" s="86" t="str">
        <f>'Request #13'!T60</f>
        <v>Other Fees</v>
      </c>
      <c r="U60" s="218">
        <f>'Request #13'!U60</f>
        <v>0</v>
      </c>
      <c r="V60" s="87">
        <f>'Request #13'!V60</f>
        <v>0</v>
      </c>
      <c r="W60" s="88">
        <f>SUMIF(F7:F79,49,E7:E79)</f>
        <v>0</v>
      </c>
      <c r="X60" s="88">
        <f>'Request #13'!Y60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#13'!AA60,"OK","Alert,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#13'!V61,"OK","Send in Change Order")</f>
        <v>OK</v>
      </c>
      <c r="S61" s="85">
        <v>50</v>
      </c>
      <c r="T61" s="86" t="str">
        <f>'Request #13'!T61</f>
        <v>Other Fees</v>
      </c>
      <c r="U61" s="218">
        <f>'Request #13'!U61</f>
        <v>0</v>
      </c>
      <c r="V61" s="87">
        <f>'Request #13'!V61</f>
        <v>0</v>
      </c>
      <c r="W61" s="88">
        <f>SUMIF(F7:F79,50,E7:E79)</f>
        <v>0</v>
      </c>
      <c r="X61" s="88">
        <f>'Request #13'!Y61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#13'!AA61,"OK","Alert,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#13'!V62,"OK","Send in Change Order")</f>
        <v>OK</v>
      </c>
      <c r="S62" s="85">
        <v>51</v>
      </c>
      <c r="T62" s="86" t="str">
        <f>'Request #13'!T62</f>
        <v>Other Fees</v>
      </c>
      <c r="U62" s="218">
        <f>'Request #13'!U62</f>
        <v>0</v>
      </c>
      <c r="V62" s="87">
        <f>'Request #13'!V62</f>
        <v>0</v>
      </c>
      <c r="W62" s="88">
        <f>SUMIF(F7:F79,51,E7:E79)</f>
        <v>0</v>
      </c>
      <c r="X62" s="88">
        <f>'Request #13'!Y62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#13'!AA62,"OK","Alert,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#13'!V63,"OK","Send in Change Order")</f>
        <v>OK</v>
      </c>
      <c r="S63" s="85">
        <v>52</v>
      </c>
      <c r="T63" s="86" t="str">
        <f>'Request #13'!T63</f>
        <v>Worked Performed by Owner</v>
      </c>
      <c r="U63" s="218">
        <f>'Request #13'!U63</f>
        <v>0</v>
      </c>
      <c r="V63" s="87">
        <f>'Request #13'!V63</f>
        <v>0</v>
      </c>
      <c r="W63" s="88">
        <f>SUMIF(F7:F79,52,E7:E79)</f>
        <v>0</v>
      </c>
      <c r="X63" s="88">
        <f>'Request #13'!Y63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#13'!AA63,"OK","Alert,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#13'!V64,"OK","Send in Change Order")</f>
        <v>OK</v>
      </c>
      <c r="S64" s="85">
        <v>53</v>
      </c>
      <c r="T64" s="86" t="str">
        <f>'Request #13'!T64</f>
        <v>Equipment (Major)</v>
      </c>
      <c r="U64" s="218">
        <f>'Request #13'!U64</f>
        <v>0</v>
      </c>
      <c r="V64" s="87">
        <f>'Request #13'!V64</f>
        <v>0</v>
      </c>
      <c r="W64" s="88">
        <f>SUMIF(F7:F79,53,E7:E79)</f>
        <v>0</v>
      </c>
      <c r="X64" s="88">
        <f>'Request #13'!Y64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#13'!AA64,"OK","Alert,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#13'!V65,"OK","Send in Change Order")</f>
        <v>OK</v>
      </c>
      <c r="S65" s="85">
        <v>54</v>
      </c>
      <c r="T65" s="102" t="s">
        <v>90</v>
      </c>
      <c r="U65" s="218">
        <f>'Request #13'!U65</f>
        <v>0</v>
      </c>
      <c r="V65" s="87">
        <f>'Request #13'!V65</f>
        <v>0</v>
      </c>
      <c r="W65" s="104"/>
      <c r="X65" s="88">
        <f>'Request #13'!Y65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#13'!AA65,"OK","Alert,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#13'!V66,"OK","Send in Change Order")</f>
        <v>OK</v>
      </c>
      <c r="S66" s="85">
        <v>55</v>
      </c>
      <c r="T66" s="86"/>
      <c r="U66" s="218">
        <f>'Request #13'!U66</f>
        <v>0</v>
      </c>
      <c r="V66" s="87">
        <f>'Request #13'!V66</f>
        <v>0</v>
      </c>
      <c r="W66" s="88">
        <f>SUMIF(F7:F79,55,E7:E79)</f>
        <v>0</v>
      </c>
      <c r="X66" s="88">
        <f>'Request #13'!Y66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#13'!AA66,"OK","Alert,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#13'!V67,"OK","Send in Change Order")</f>
        <v>OK</v>
      </c>
      <c r="S67" s="85">
        <v>56</v>
      </c>
      <c r="T67" s="79"/>
      <c r="U67" s="218">
        <f>'Request #13'!U67</f>
        <v>0</v>
      </c>
      <c r="V67" s="87">
        <f>'Request #13'!V67</f>
        <v>0</v>
      </c>
      <c r="W67" s="88">
        <f>SUMIF(F7:F79,56,E7:E79)</f>
        <v>0</v>
      </c>
      <c r="X67" s="88">
        <f>'Request #13'!Y67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#13'!AA67,"OK","Alert,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#13'!V68,"OK","Send in Change Order")</f>
        <v>OK</v>
      </c>
      <c r="S68" s="316" t="s">
        <v>60</v>
      </c>
      <c r="T68" s="317"/>
      <c r="U68" s="224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#13'!AA68,"OK","Alert,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25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226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27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28" t="e">
        <f>V72/V68</f>
        <v>#DIV/0!</v>
      </c>
      <c r="V72" s="88">
        <f>V68-V74-V73</f>
        <v>0</v>
      </c>
      <c r="W72" s="87">
        <v>0</v>
      </c>
      <c r="X72" s="88">
        <f>'Request #13'!Y72</f>
        <v>0</v>
      </c>
      <c r="Y72" s="88">
        <f t="shared" ref="Y72:Y73" si="8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#13'!V73,"OK","Send in Change Order")</f>
        <v>OK</v>
      </c>
      <c r="S73" s="86" t="s">
        <v>95</v>
      </c>
      <c r="T73" s="114"/>
      <c r="U73" s="228" t="e">
        <f>V73/V68</f>
        <v>#DIV/0!</v>
      </c>
      <c r="V73" s="87">
        <f>'Request #13'!V73</f>
        <v>0</v>
      </c>
      <c r="W73" s="87">
        <v>0</v>
      </c>
      <c r="X73" s="88">
        <f>'Request #13'!Y73</f>
        <v>0</v>
      </c>
      <c r="Y73" s="88">
        <f t="shared" si="8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#13'!V74,"OK","Send in Change Order")</f>
        <v>OK</v>
      </c>
      <c r="S74" s="120" t="s">
        <v>96</v>
      </c>
      <c r="T74" s="121"/>
      <c r="U74" s="228" t="e">
        <f>V74/V68</f>
        <v>#DIV/0!</v>
      </c>
      <c r="V74" s="87">
        <f>'Request #13'!V74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221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30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30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31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221"/>
      <c r="V80" s="55"/>
      <c r="W80" s="55"/>
      <c r="X80" s="138"/>
      <c r="Y80" s="45" t="s">
        <v>108</v>
      </c>
      <c r="Z80" s="43"/>
      <c r="AA80" s="88">
        <f>'Request #13'!AA79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14</v>
      </c>
      <c r="V87" s="55"/>
      <c r="W87" s="55"/>
      <c r="X87" s="138"/>
      <c r="Y87" s="45" t="s">
        <v>108</v>
      </c>
      <c r="Z87" s="43"/>
      <c r="AA87" s="88">
        <f>'Request #13'!AA86</f>
        <v>0</v>
      </c>
      <c r="AB87" s="110"/>
    </row>
    <row r="88" spans="1:28" ht="30" customHeight="1" thickBot="1" x14ac:dyDescent="0.35">
      <c r="S88" s="55"/>
      <c r="T88" s="55"/>
      <c r="U88" s="221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221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221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221"/>
      <c r="V91" s="55"/>
      <c r="W91" s="55"/>
      <c r="X91" s="55"/>
    </row>
    <row r="92" spans="1:28" ht="30" customHeight="1" x14ac:dyDescent="0.3">
      <c r="S92" s="55"/>
      <c r="T92" s="55"/>
      <c r="U92" s="221"/>
      <c r="V92" s="55"/>
      <c r="W92" s="55"/>
      <c r="X92" s="55"/>
    </row>
    <row r="93" spans="1:28" ht="30" customHeight="1" x14ac:dyDescent="0.3">
      <c r="S93" s="55"/>
      <c r="T93" s="55"/>
      <c r="U93" s="221"/>
      <c r="V93" s="55"/>
      <c r="W93" s="55"/>
      <c r="X93" s="55"/>
    </row>
    <row r="94" spans="1:28" ht="30" customHeight="1" x14ac:dyDescent="0.3">
      <c r="S94" s="55"/>
      <c r="T94" s="55"/>
      <c r="U94" s="221"/>
      <c r="V94" s="55"/>
      <c r="W94" s="55"/>
      <c r="X94" s="55"/>
    </row>
    <row r="95" spans="1:28" ht="30" customHeight="1" x14ac:dyDescent="0.3">
      <c r="S95" s="55"/>
      <c r="T95" s="55"/>
      <c r="U95" s="221"/>
      <c r="V95" s="55"/>
      <c r="W95" s="55"/>
      <c r="X95" s="55"/>
    </row>
    <row r="96" spans="1:28" ht="30" customHeight="1" x14ac:dyDescent="0.3">
      <c r="S96" s="55"/>
      <c r="T96" s="55"/>
      <c r="U96" s="221"/>
      <c r="V96" s="55"/>
      <c r="W96" s="55"/>
      <c r="X96" s="55"/>
    </row>
    <row r="97" spans="15:24" ht="30" customHeight="1" x14ac:dyDescent="0.3">
      <c r="S97" s="55"/>
      <c r="T97" s="55"/>
      <c r="U97" s="221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CI2oGrsEdjPb2EKMOPBmploED5+vhhUopX6a6HxbKDBczZ7J0EU4udWA1Bbl5u2EO+X0d1fbPh11Ne54qD9FKg==" saltValue="+w6NWn/cPH0pTdypY0jJEQ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314" priority="10" operator="containsText" text="Change">
      <formula>NOT(ISERROR(SEARCH("Change",R1)))</formula>
    </cfRule>
  </conditionalFormatting>
  <conditionalFormatting sqref="R45:R48">
    <cfRule type="cellIs" dxfId="313" priority="7" operator="equal">
      <formula>"Send in Change Order"</formula>
    </cfRule>
  </conditionalFormatting>
  <conditionalFormatting sqref="W68">
    <cfRule type="cellIs" dxfId="312" priority="2" operator="notEqual">
      <formula>$E$82</formula>
    </cfRule>
    <cfRule type="cellIs" dxfId="311" priority="3" operator="greaterThan">
      <formula>$E$82</formula>
    </cfRule>
    <cfRule type="cellIs" dxfId="310" priority="4" operator="notEqual">
      <formula>$E$82</formula>
    </cfRule>
  </conditionalFormatting>
  <conditionalFormatting sqref="Z12:Z44">
    <cfRule type="cellIs" dxfId="309" priority="8" operator="lessThan">
      <formula>0</formula>
    </cfRule>
  </conditionalFormatting>
  <conditionalFormatting sqref="Z49:Z68">
    <cfRule type="cellIs" dxfId="308" priority="5" operator="lessThan">
      <formula>0</formula>
    </cfRule>
  </conditionalFormatting>
  <conditionalFormatting sqref="AA68">
    <cfRule type="cellIs" dxfId="307" priority="1" operator="notEqual">
      <formula>$O$82</formula>
    </cfRule>
  </conditionalFormatting>
  <conditionalFormatting sqref="AB1:AB1048576">
    <cfRule type="containsText" dxfId="306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2" manualBreakCount="12">
    <brk id="6" max="88" man="1"/>
    <brk id="10" max="1048575" man="1"/>
    <brk id="16" max="1048575" man="1"/>
    <brk id="18" max="88" man="1"/>
    <brk id="27" max="88" man="1"/>
    <brk id="29" max="88" man="1"/>
    <brk id="51" max="1048575" man="1"/>
    <brk id="52" max="1048575" man="1"/>
    <brk id="99" max="1048575" man="1"/>
    <brk id="101" max="1048575" man="1"/>
    <brk id="110" max="1048575" man="1"/>
    <brk id="111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194" customWidth="1"/>
    <col min="10" max="10" width="8.88671875" style="40"/>
    <col min="11" max="11" width="17.77734375" style="39" customWidth="1"/>
    <col min="12" max="12" width="19.4414062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9.77734375" style="50" customWidth="1"/>
    <col min="19" max="19" width="7" style="39" customWidth="1"/>
    <col min="20" max="20" width="31.88671875" style="39" customWidth="1"/>
    <col min="21" max="21" width="17.77734375" style="219" customWidth="1"/>
    <col min="22" max="27" width="18.88671875" style="39" customWidth="1"/>
    <col min="28" max="28" width="23.6640625" style="54" customWidth="1"/>
    <col min="29" max="29" width="8.88671875" style="40"/>
    <col min="30" max="30" width="16" style="39" customWidth="1"/>
    <col min="31" max="31" width="103.21875" style="39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220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15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220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193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220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50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221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05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05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22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05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23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15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05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05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218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05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#14'!V12,"OK","Send in Change Order")</f>
        <v>OK</v>
      </c>
      <c r="S12" s="85">
        <v>1</v>
      </c>
      <c r="T12" s="86" t="str">
        <f>'Request #14'!T12</f>
        <v>Land/Site Grading &amp; Improv.</v>
      </c>
      <c r="U12" s="218">
        <f>'Request #14'!U12</f>
        <v>0</v>
      </c>
      <c r="V12" s="87">
        <f>'Request #14'!V12</f>
        <v>0</v>
      </c>
      <c r="W12" s="88">
        <f>SUMIF(F7:F79,1,E7:E79)</f>
        <v>0</v>
      </c>
      <c r="X12" s="88">
        <f>'Request #14'!Y12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#14'!AA12,"OK","Alert,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05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#14'!V13,"OK","Send in Change Order")</f>
        <v>OK</v>
      </c>
      <c r="S13" s="85">
        <v>2</v>
      </c>
      <c r="T13" s="86" t="str">
        <f>'Request #14'!T13</f>
        <v xml:space="preserve">General Contract </v>
      </c>
      <c r="U13" s="218">
        <f>'Request #14'!U13</f>
        <v>0</v>
      </c>
      <c r="V13" s="87">
        <f>'Request #14'!V13</f>
        <v>0</v>
      </c>
      <c r="W13" s="88">
        <f>SUMIF(F7:F79,2,E7:E79)</f>
        <v>0</v>
      </c>
      <c r="X13" s="88">
        <f>'Request #14'!Y13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#14'!AA13,"OK","Alert,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05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#14'!V14,"OK","Send in Change Order")</f>
        <v>OK</v>
      </c>
      <c r="S14" s="85">
        <v>3</v>
      </c>
      <c r="T14" s="86" t="str">
        <f>'Request #14'!T14</f>
        <v>Designer Contract</v>
      </c>
      <c r="U14" s="218">
        <f>'Request #14'!U14</f>
        <v>0</v>
      </c>
      <c r="V14" s="87">
        <f>'Request #14'!V14</f>
        <v>0</v>
      </c>
      <c r="W14" s="88">
        <f>SUMIF(F7:F79,3,E7:E79)</f>
        <v>0</v>
      </c>
      <c r="X14" s="88">
        <f>'Request #14'!Y14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#14'!AA14,"OK","Alert,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05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#14'!V15,"OK","Send in Change Order")</f>
        <v>OK</v>
      </c>
      <c r="S15" s="85">
        <v>4</v>
      </c>
      <c r="T15" s="86" t="str">
        <f>'Request #14'!T15</f>
        <v>Designer Reimbursables</v>
      </c>
      <c r="U15" s="218">
        <f>'Request #14'!U15</f>
        <v>0</v>
      </c>
      <c r="V15" s="87">
        <f>'Request #14'!V15</f>
        <v>0</v>
      </c>
      <c r="W15" s="88">
        <f>SUMIF(F7:F79,4,E7:E79)</f>
        <v>0</v>
      </c>
      <c r="X15" s="88">
        <f>'Request #14'!Y15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#14'!AA15,"OK","Alert,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05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#14'!V16,"OK","Send in Change Order")</f>
        <v>OK</v>
      </c>
      <c r="S16" s="85">
        <v>5</v>
      </c>
      <c r="T16" s="86" t="str">
        <f>'Request #14'!T16</f>
        <v>Other Contracts</v>
      </c>
      <c r="U16" s="218">
        <f>'Request #14'!U16</f>
        <v>0</v>
      </c>
      <c r="V16" s="87">
        <f>'Request #14'!V16</f>
        <v>0</v>
      </c>
      <c r="W16" s="88">
        <f>SUMIF(F7:F79,5,E7:E79)</f>
        <v>0</v>
      </c>
      <c r="X16" s="88">
        <f>'Request #14'!Y16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#14'!AA16,"OK","Alert,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05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#14'!V17,"OK","Send in Change Order")</f>
        <v>OK</v>
      </c>
      <c r="S17" s="85">
        <v>6</v>
      </c>
      <c r="T17" s="86" t="str">
        <f>'Request #14'!T17</f>
        <v>Other Contracts</v>
      </c>
      <c r="U17" s="218">
        <f>'Request #14'!U17</f>
        <v>0</v>
      </c>
      <c r="V17" s="87">
        <f>'Request #14'!V17</f>
        <v>0</v>
      </c>
      <c r="W17" s="88">
        <f>SUMIF(F7:F79,6,E7:E79)</f>
        <v>0</v>
      </c>
      <c r="X17" s="88">
        <f>'Request #14'!Y17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#14'!AA17,"OK","Alert,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05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#14'!V18,"OK","Send in Change Order")</f>
        <v>OK</v>
      </c>
      <c r="S18" s="85">
        <v>7</v>
      </c>
      <c r="T18" s="86" t="str">
        <f>'Request #14'!T18</f>
        <v>Other Contracts</v>
      </c>
      <c r="U18" s="218">
        <f>'Request #14'!U18</f>
        <v>0</v>
      </c>
      <c r="V18" s="87">
        <f>'Request #14'!V18</f>
        <v>0</v>
      </c>
      <c r="W18" s="88">
        <f>SUMIF(F7:F79,7,E7:E79)</f>
        <v>0</v>
      </c>
      <c r="X18" s="88">
        <f>'Request #14'!Y18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#14'!AA18,"OK","Alert,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05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#14'!V19,"OK","Send in Change Order")</f>
        <v>OK</v>
      </c>
      <c r="S19" s="85">
        <v>8</v>
      </c>
      <c r="T19" s="86" t="str">
        <f>'Request #14'!T19</f>
        <v>Other Contracts</v>
      </c>
      <c r="U19" s="218">
        <f>'Request #14'!U19</f>
        <v>0</v>
      </c>
      <c r="V19" s="87">
        <f>'Request #14'!V19</f>
        <v>0</v>
      </c>
      <c r="W19" s="88">
        <f>SUMIF(F7:F79,8,E7:E79)</f>
        <v>0</v>
      </c>
      <c r="X19" s="88">
        <f>'Request #14'!Y19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#14'!AA19,"OK","Alert,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05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#14'!V20,"OK","Send in Change Order")</f>
        <v>OK</v>
      </c>
      <c r="S20" s="85">
        <v>9</v>
      </c>
      <c r="T20" s="86" t="str">
        <f>'Request #14'!T20</f>
        <v>Other Contracts</v>
      </c>
      <c r="U20" s="218">
        <f>'Request #14'!U20</f>
        <v>0</v>
      </c>
      <c r="V20" s="87">
        <f>'Request #14'!V20</f>
        <v>0</v>
      </c>
      <c r="W20" s="88">
        <f>SUMIF(F7:F79,9,E7:E79)</f>
        <v>0</v>
      </c>
      <c r="X20" s="88">
        <f>'Request #14'!Y20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#14'!AA20,"OK","Alert,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05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#14'!V21,"OK","Send in Change Order")</f>
        <v>OK</v>
      </c>
      <c r="S21" s="85">
        <v>10</v>
      </c>
      <c r="T21" s="86" t="str">
        <f>'Request #14'!T21</f>
        <v>Other Contracts</v>
      </c>
      <c r="U21" s="218">
        <f>'Request #14'!U21</f>
        <v>0</v>
      </c>
      <c r="V21" s="87">
        <f>'Request #14'!V21</f>
        <v>0</v>
      </c>
      <c r="W21" s="88">
        <f>SUMIF(F7:F79,10,E7:E79)</f>
        <v>0</v>
      </c>
      <c r="X21" s="88">
        <f>'Request #14'!Y21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#14'!AA21,"OK","Alert,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05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#14'!V22,"OK","Send in Change Order")</f>
        <v>OK</v>
      </c>
      <c r="S22" s="85">
        <v>11</v>
      </c>
      <c r="T22" s="86" t="str">
        <f>'Request #14'!T22</f>
        <v>Other Contracts</v>
      </c>
      <c r="U22" s="218">
        <f>'Request #14'!U22</f>
        <v>0</v>
      </c>
      <c r="V22" s="87">
        <f>'Request #14'!V22</f>
        <v>0</v>
      </c>
      <c r="W22" s="88">
        <f>SUMIF(F7:F79,11,E7:E79)</f>
        <v>0</v>
      </c>
      <c r="X22" s="88">
        <f>'Request #14'!Y22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#14'!AA22,"OK","Alert,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05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#14'!V23,"OK","Send in Change Order")</f>
        <v>OK</v>
      </c>
      <c r="S23" s="85">
        <v>12</v>
      </c>
      <c r="T23" s="86" t="str">
        <f>'Request #14'!T23</f>
        <v>Other Contracts</v>
      </c>
      <c r="U23" s="218">
        <f>'Request #14'!U23</f>
        <v>0</v>
      </c>
      <c r="V23" s="87">
        <f>'Request #14'!V23</f>
        <v>0</v>
      </c>
      <c r="W23" s="88">
        <f>SUMIF(F7:F79,12,E7:E79)</f>
        <v>0</v>
      </c>
      <c r="X23" s="88">
        <f>'Request #14'!Y23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#14'!AA23,"OK","Alert,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05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#14'!V24,"OK","Send in Change Order")</f>
        <v>OK</v>
      </c>
      <c r="S24" s="85">
        <v>13</v>
      </c>
      <c r="T24" s="86" t="str">
        <f>'Request #14'!T24</f>
        <v>Other Contracts</v>
      </c>
      <c r="U24" s="218">
        <f>'Request #14'!U24</f>
        <v>0</v>
      </c>
      <c r="V24" s="87">
        <f>'Request #14'!V24</f>
        <v>0</v>
      </c>
      <c r="W24" s="88">
        <f>SUMIF(F7:F79,13,E7:E79)</f>
        <v>0</v>
      </c>
      <c r="X24" s="88">
        <f>'Request #14'!Y24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#14'!AA24,"OK","Alert,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05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#14'!V25,"OK","Send in Change Order")</f>
        <v>OK</v>
      </c>
      <c r="S25" s="85">
        <v>14</v>
      </c>
      <c r="T25" s="86" t="str">
        <f>'Request #14'!T25</f>
        <v>Other Contracts</v>
      </c>
      <c r="U25" s="218">
        <f>'Request #14'!U25</f>
        <v>0</v>
      </c>
      <c r="V25" s="87">
        <f>'Request #14'!V25</f>
        <v>0</v>
      </c>
      <c r="W25" s="88">
        <f>SUMIF(F7:F79,14,E7:E79)</f>
        <v>0</v>
      </c>
      <c r="X25" s="88">
        <f>'Request #14'!Y25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#14'!AA25,"OK","Alert,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05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#14'!V26,"OK","Send in Change Order")</f>
        <v>OK</v>
      </c>
      <c r="S26" s="85">
        <v>15</v>
      </c>
      <c r="T26" s="86" t="str">
        <f>'Request #14'!T26</f>
        <v>Other Contracts</v>
      </c>
      <c r="U26" s="218">
        <f>'Request #14'!U26</f>
        <v>0</v>
      </c>
      <c r="V26" s="87">
        <f>'Request #14'!V26</f>
        <v>0</v>
      </c>
      <c r="W26" s="88">
        <f>SUMIF(F7:F79,15,E7:E79)</f>
        <v>0</v>
      </c>
      <c r="X26" s="88">
        <f>'Request #14'!Y26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#14'!AA26,"OK","Alert,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05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#14'!V27,"OK","Send in Change Order")</f>
        <v>OK</v>
      </c>
      <c r="S27" s="85">
        <v>16</v>
      </c>
      <c r="T27" s="86" t="str">
        <f>'Request #14'!T27</f>
        <v>Other Contracts</v>
      </c>
      <c r="U27" s="218">
        <f>'Request #14'!U27</f>
        <v>0</v>
      </c>
      <c r="V27" s="87">
        <f>'Request #14'!V27</f>
        <v>0</v>
      </c>
      <c r="W27" s="88">
        <f>SUMIF(F7:F79,16,E7:E79)</f>
        <v>0</v>
      </c>
      <c r="X27" s="88">
        <f>'Request #14'!Y27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#14'!AA27,"OK","Alert,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05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#14'!V28,"OK","Send in Change Order")</f>
        <v>OK</v>
      </c>
      <c r="S28" s="85">
        <v>17</v>
      </c>
      <c r="T28" s="86" t="str">
        <f>'Request #14'!T28</f>
        <v>Other Contracts</v>
      </c>
      <c r="U28" s="218">
        <f>'Request #14'!U28</f>
        <v>0</v>
      </c>
      <c r="V28" s="87">
        <f>'Request #14'!V28</f>
        <v>0</v>
      </c>
      <c r="W28" s="88">
        <f>SUMIF(F7:F79,17,E7:E79)</f>
        <v>0</v>
      </c>
      <c r="X28" s="88">
        <f>'Request #14'!Y28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#14'!AA28,"OK","Alert,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05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#14'!V29,"OK","Send in Change Order")</f>
        <v>OK</v>
      </c>
      <c r="S29" s="85">
        <v>18</v>
      </c>
      <c r="T29" s="86" t="str">
        <f>'Request #14'!T29</f>
        <v>Other Contracts</v>
      </c>
      <c r="U29" s="218">
        <f>'Request #14'!U29</f>
        <v>0</v>
      </c>
      <c r="V29" s="87">
        <f>'Request #14'!V29</f>
        <v>0</v>
      </c>
      <c r="W29" s="88">
        <f>SUMIF(F7:F79,18,E7:E79)</f>
        <v>0</v>
      </c>
      <c r="X29" s="88">
        <f>'Request #14'!Y29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#14'!AA29,"OK","Alert,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05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#14'!V30,"OK","Send in Change Order")</f>
        <v>OK</v>
      </c>
      <c r="S30" s="85">
        <v>19</v>
      </c>
      <c r="T30" s="86" t="str">
        <f>'Request #14'!T30</f>
        <v>Other Contracts</v>
      </c>
      <c r="U30" s="218">
        <f>'Request #14'!U30</f>
        <v>0</v>
      </c>
      <c r="V30" s="87">
        <f>'Request #14'!V30</f>
        <v>0</v>
      </c>
      <c r="W30" s="88">
        <f>SUMIF(F7:F79,19,E7:E79)</f>
        <v>0</v>
      </c>
      <c r="X30" s="88">
        <f>'Request #14'!Y30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#14'!AA30,"OK","Alert,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05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#14'!V31,"OK","Send in Change Order")</f>
        <v>OK</v>
      </c>
      <c r="S31" s="85">
        <v>20</v>
      </c>
      <c r="T31" s="86" t="str">
        <f>'Request #14'!T31</f>
        <v>Other Contracts</v>
      </c>
      <c r="U31" s="218">
        <f>'Request #14'!U31</f>
        <v>0</v>
      </c>
      <c r="V31" s="87">
        <f>'Request #14'!V31</f>
        <v>0</v>
      </c>
      <c r="W31" s="88">
        <f>SUMIF(F7:F79,20,E7:E79)</f>
        <v>0</v>
      </c>
      <c r="X31" s="88">
        <f>'Request #14'!Y31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#14'!AA31,"OK","Alert,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05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#14'!V32,"OK","Send in Change Order")</f>
        <v>OK</v>
      </c>
      <c r="S32" s="85">
        <v>21</v>
      </c>
      <c r="T32" s="86" t="str">
        <f>'Request #14'!T32</f>
        <v>Other Contracts</v>
      </c>
      <c r="U32" s="218">
        <f>'Request #14'!U32</f>
        <v>0</v>
      </c>
      <c r="V32" s="87">
        <f>'Request #14'!V32</f>
        <v>0</v>
      </c>
      <c r="W32" s="88">
        <f>SUMIF(F7:F79,21,E7:E79)</f>
        <v>0</v>
      </c>
      <c r="X32" s="88">
        <f>'Request #14'!Y32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#14'!AA32,"OK","Alert,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05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#14'!V33,"OK","Send in Change Order")</f>
        <v>OK</v>
      </c>
      <c r="S33" s="85">
        <v>22</v>
      </c>
      <c r="T33" s="86" t="str">
        <f>'Request #14'!T33</f>
        <v>Other Contracts</v>
      </c>
      <c r="U33" s="218">
        <f>'Request #14'!U33</f>
        <v>0</v>
      </c>
      <c r="V33" s="87">
        <f>'Request #14'!V33</f>
        <v>0</v>
      </c>
      <c r="W33" s="88">
        <f>SUMIF(F7:F79,22,E7:E79)</f>
        <v>0</v>
      </c>
      <c r="X33" s="88">
        <f>'Request #14'!Y33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#14'!AA33,"OK","Alert,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05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#14'!V34,"OK","Send in Change Order")</f>
        <v>OK</v>
      </c>
      <c r="S34" s="85">
        <v>23</v>
      </c>
      <c r="T34" s="86" t="str">
        <f>'Request #14'!T34</f>
        <v>Other Contracts</v>
      </c>
      <c r="U34" s="218">
        <f>'Request #14'!U34</f>
        <v>0</v>
      </c>
      <c r="V34" s="87">
        <f>'Request #14'!V34</f>
        <v>0</v>
      </c>
      <c r="W34" s="88">
        <f>SUMIF(F7:F79,23,E7:E79)</f>
        <v>0</v>
      </c>
      <c r="X34" s="88">
        <f>'Request #14'!Y34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#14'!AA34,"OK","Alert,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05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#14'!V35,"OK","Send in Change Order")</f>
        <v>OK</v>
      </c>
      <c r="S35" s="85">
        <v>24</v>
      </c>
      <c r="T35" s="86" t="str">
        <f>'Request #14'!T35</f>
        <v>Other Contracts</v>
      </c>
      <c r="U35" s="218">
        <f>'Request #14'!U35</f>
        <v>0</v>
      </c>
      <c r="V35" s="87">
        <f>'Request #14'!V35</f>
        <v>0</v>
      </c>
      <c r="W35" s="88">
        <f>SUMIF(F7:F79,24,E7:E79)</f>
        <v>0</v>
      </c>
      <c r="X35" s="88">
        <f>'Request #14'!Y35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#14'!AA35,"OK","Alert,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05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#14'!V36,"OK","Send in Change Order")</f>
        <v>OK</v>
      </c>
      <c r="S36" s="85">
        <v>25</v>
      </c>
      <c r="T36" s="86" t="str">
        <f>'Request #14'!T36</f>
        <v>Other Contracts</v>
      </c>
      <c r="U36" s="218">
        <f>'Request #14'!U36</f>
        <v>0</v>
      </c>
      <c r="V36" s="87">
        <f>'Request #14'!V36</f>
        <v>0</v>
      </c>
      <c r="W36" s="88">
        <f>SUMIF(F7:F79,25,E7:E79)</f>
        <v>0</v>
      </c>
      <c r="X36" s="88">
        <f>'Request #14'!Y36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#14'!AA36,"OK","Alert,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05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#14'!V37,"OK","Send in Change Order")</f>
        <v>OK</v>
      </c>
      <c r="S37" s="85">
        <v>26</v>
      </c>
      <c r="T37" s="86" t="str">
        <f>'Request #14'!T37</f>
        <v>Other Fees</v>
      </c>
      <c r="U37" s="218">
        <f>'Request #14'!U37</f>
        <v>0</v>
      </c>
      <c r="V37" s="87">
        <f>'Request #14'!V37</f>
        <v>0</v>
      </c>
      <c r="W37" s="88">
        <f>SUMIF(F7:F79,26,E7:E79)</f>
        <v>0</v>
      </c>
      <c r="X37" s="88">
        <f>'Request #14'!Y37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#14'!AA37,"OK","Alert,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05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#14'!V38,"OK","Send in Change Order")</f>
        <v>OK</v>
      </c>
      <c r="S38" s="85">
        <v>27</v>
      </c>
      <c r="T38" s="86" t="str">
        <f>'Request #14'!T38</f>
        <v>Other Fees</v>
      </c>
      <c r="U38" s="218">
        <f>'Request #14'!U38</f>
        <v>0</v>
      </c>
      <c r="V38" s="87">
        <f>'Request #14'!V38</f>
        <v>0</v>
      </c>
      <c r="W38" s="88">
        <f>SUMIF(F7:F79,27,E7:E79)</f>
        <v>0</v>
      </c>
      <c r="X38" s="88">
        <f>'Request #14'!Y38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#14'!AA38,"OK","Alert,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05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#14'!V39,"OK","Send in Change Order")</f>
        <v>OK</v>
      </c>
      <c r="S39" s="85">
        <v>28</v>
      </c>
      <c r="T39" s="86" t="str">
        <f>'Request #14'!T39</f>
        <v>Other Fees</v>
      </c>
      <c r="U39" s="218">
        <f>'Request #14'!U39</f>
        <v>0</v>
      </c>
      <c r="V39" s="87">
        <f>'Request #14'!V39</f>
        <v>0</v>
      </c>
      <c r="W39" s="88">
        <f>SUMIF(F7:F79,28,E7:E79)</f>
        <v>0</v>
      </c>
      <c r="X39" s="88">
        <f>'Request #14'!Y39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#14'!AA39,"OK","Alert,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05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#14'!V40,"OK","Send in Change Order")</f>
        <v>OK</v>
      </c>
      <c r="S40" s="85">
        <v>29</v>
      </c>
      <c r="T40" s="86" t="str">
        <f>'Request #14'!T40</f>
        <v>Other Fees</v>
      </c>
      <c r="U40" s="218">
        <f>'Request #14'!U40</f>
        <v>0</v>
      </c>
      <c r="V40" s="87">
        <f>'Request #14'!V40</f>
        <v>0</v>
      </c>
      <c r="W40" s="88">
        <f>SUMIF(F7:F79,29,E7:E79)</f>
        <v>0</v>
      </c>
      <c r="X40" s="88">
        <f>'Request #14'!Y40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#14'!AA40,"OK","Alert,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05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#14'!V41,"OK","Send in Change Order")</f>
        <v>OK</v>
      </c>
      <c r="S41" s="85">
        <v>30</v>
      </c>
      <c r="T41" s="86" t="str">
        <f>'Request #14'!T41</f>
        <v>Other Fees</v>
      </c>
      <c r="U41" s="218">
        <f>'Request #14'!U41</f>
        <v>0</v>
      </c>
      <c r="V41" s="87">
        <f>'Request #14'!V41</f>
        <v>0</v>
      </c>
      <c r="W41" s="88">
        <f>SUMIF(F7:F79,30,E7:E79)</f>
        <v>0</v>
      </c>
      <c r="X41" s="88">
        <f>'Request #14'!Y41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#14'!AA41,"OK","Alert,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05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#14'!V42,"OK","Send in Change Order")</f>
        <v>OK</v>
      </c>
      <c r="S42" s="85">
        <v>31</v>
      </c>
      <c r="T42" s="86" t="str">
        <f>'Request #14'!T42</f>
        <v>Other Fees</v>
      </c>
      <c r="U42" s="218">
        <f>'Request #14'!U42</f>
        <v>0</v>
      </c>
      <c r="V42" s="87">
        <f>'Request #14'!V42</f>
        <v>0</v>
      </c>
      <c r="W42" s="88">
        <f>SUMIF(F7:F79,31,E7:E79)</f>
        <v>0</v>
      </c>
      <c r="X42" s="88">
        <f>'Request #14'!Y42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#14'!AA42,"OK","Alert,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05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#14'!V43,"OK","Send in Change Order")</f>
        <v>OK</v>
      </c>
      <c r="S43" s="85">
        <v>32</v>
      </c>
      <c r="T43" s="86" t="str">
        <f>'Request #14'!T43</f>
        <v>Other Fees</v>
      </c>
      <c r="U43" s="218">
        <f>'Request #14'!U43</f>
        <v>0</v>
      </c>
      <c r="V43" s="87">
        <f>'Request #14'!V43</f>
        <v>0</v>
      </c>
      <c r="W43" s="88">
        <f>SUMIF(F7:F79,32,E7:E79)</f>
        <v>0</v>
      </c>
      <c r="X43" s="88">
        <f>'Request #14'!Y43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#14'!AA43,"OK","Alert,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05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#14'!V44,"OK","Send in Change Order")</f>
        <v>OK</v>
      </c>
      <c r="S44" s="85">
        <v>33</v>
      </c>
      <c r="T44" s="86" t="str">
        <f>'Request #14'!T44</f>
        <v>Other Fees</v>
      </c>
      <c r="U44" s="218">
        <f>'Request #14'!U44</f>
        <v>0</v>
      </c>
      <c r="V44" s="87">
        <f>'Request #14'!V44</f>
        <v>0</v>
      </c>
      <c r="W44" s="88">
        <f>SUMIF(F7:F79,33,E7:E79)</f>
        <v>0</v>
      </c>
      <c r="X44" s="88">
        <f>'Request #14'!Y44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#14'!AA44,"OK","Alert,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05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05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05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#14'!V49,"OK","Send in Change Order")</f>
        <v>OK</v>
      </c>
      <c r="S49" s="85">
        <v>38</v>
      </c>
      <c r="T49" s="86" t="str">
        <f>'Request #14'!T49</f>
        <v>Other Fees</v>
      </c>
      <c r="U49" s="218">
        <f>'Request #14'!U49</f>
        <v>0</v>
      </c>
      <c r="V49" s="87">
        <f>'Request #14'!V49</f>
        <v>0</v>
      </c>
      <c r="W49" s="88">
        <f>SUMIF(F7:F79,38,E7:E79)</f>
        <v>0</v>
      </c>
      <c r="X49" s="88">
        <f>'Request #14'!Y49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#14'!AA49,"OK","Alert,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05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#14'!V50,"OK","Send in Change Order")</f>
        <v>OK</v>
      </c>
      <c r="S50" s="85">
        <v>39</v>
      </c>
      <c r="T50" s="86" t="str">
        <f>'Request #14'!T50</f>
        <v>Other Fees</v>
      </c>
      <c r="U50" s="218">
        <f>'Request #14'!U50</f>
        <v>0</v>
      </c>
      <c r="V50" s="87">
        <f>'Request #14'!V50</f>
        <v>0</v>
      </c>
      <c r="W50" s="88">
        <f>SUMIF(F7:F79,39,E7:E79)</f>
        <v>0</v>
      </c>
      <c r="X50" s="88">
        <f>'Request #14'!Y50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#14'!AA50,"OK","Alert,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05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#14'!V51,"OK","Send in Change Order")</f>
        <v>OK</v>
      </c>
      <c r="S51" s="85">
        <v>40</v>
      </c>
      <c r="T51" s="86" t="str">
        <f>'Request #14'!T51</f>
        <v>Other Fees</v>
      </c>
      <c r="U51" s="218">
        <f>'Request #14'!U51</f>
        <v>0</v>
      </c>
      <c r="V51" s="87">
        <f>'Request #14'!V51</f>
        <v>0</v>
      </c>
      <c r="W51" s="88">
        <f>SUMIF(F7:F79,40,E7:E79)</f>
        <v>0</v>
      </c>
      <c r="X51" s="88">
        <f>'Request #14'!Y51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#14'!AA51,"OK","Alert,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05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#14'!V52,"OK","Send in Change Order")</f>
        <v>OK</v>
      </c>
      <c r="S52" s="85">
        <v>41</v>
      </c>
      <c r="T52" s="86" t="str">
        <f>'Request #14'!T52</f>
        <v>Other Fees</v>
      </c>
      <c r="U52" s="218">
        <f>'Request #14'!U52</f>
        <v>0</v>
      </c>
      <c r="V52" s="87">
        <f>'Request #14'!V52</f>
        <v>0</v>
      </c>
      <c r="W52" s="88">
        <f>SUMIF(F7:F79,41,E7:E79)</f>
        <v>0</v>
      </c>
      <c r="X52" s="88">
        <f>'Request #14'!Y52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#14'!AA52,"OK","Alert,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05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#14'!V53,"OK","Send in Change Order")</f>
        <v>OK</v>
      </c>
      <c r="S53" s="85">
        <v>42</v>
      </c>
      <c r="T53" s="86" t="str">
        <f>'Request #14'!T53</f>
        <v>Other Fees</v>
      </c>
      <c r="U53" s="218">
        <f>'Request #14'!U53</f>
        <v>0</v>
      </c>
      <c r="V53" s="87">
        <f>'Request #14'!V53</f>
        <v>0</v>
      </c>
      <c r="W53" s="88">
        <f>SUMIF(F7:F79,42,E7:E79)</f>
        <v>0</v>
      </c>
      <c r="X53" s="88">
        <f>'Request #14'!Y53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#14'!AA53,"OK","Alert,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05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#14'!V54,"OK","Send in Change Order")</f>
        <v>OK</v>
      </c>
      <c r="S54" s="85">
        <v>43</v>
      </c>
      <c r="T54" s="86" t="str">
        <f>'Request #14'!T54</f>
        <v>Other Fees</v>
      </c>
      <c r="U54" s="218">
        <f>'Request #14'!U54</f>
        <v>0</v>
      </c>
      <c r="V54" s="87">
        <f>'Request #14'!V54</f>
        <v>0</v>
      </c>
      <c r="W54" s="88">
        <f>SUMIF(F7:F79,43,E7:E79)</f>
        <v>0</v>
      </c>
      <c r="X54" s="88">
        <f>'Request #14'!Y54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#14'!AA54,"OK","Alert,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05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#14'!V55,"OK","Send in Change Order")</f>
        <v>OK</v>
      </c>
      <c r="S55" s="85">
        <v>44</v>
      </c>
      <c r="T55" s="86" t="str">
        <f>'Request #14'!T55</f>
        <v>Other Fees</v>
      </c>
      <c r="U55" s="218">
        <f>'Request #14'!U55</f>
        <v>0</v>
      </c>
      <c r="V55" s="87">
        <f>'Request #14'!V55</f>
        <v>0</v>
      </c>
      <c r="W55" s="88">
        <f>SUMIF(F7:F79,44,E7:E79)</f>
        <v>0</v>
      </c>
      <c r="X55" s="88">
        <f>'Request #14'!Y55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#14'!AA55,"OK","Alert,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05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#14'!V56,"OK","Send in Change Order")</f>
        <v>OK</v>
      </c>
      <c r="S56" s="85">
        <v>45</v>
      </c>
      <c r="T56" s="86" t="str">
        <f>'Request #14'!T56</f>
        <v>Other Fees</v>
      </c>
      <c r="U56" s="218">
        <f>'Request #14'!U56</f>
        <v>0</v>
      </c>
      <c r="V56" s="87">
        <f>'Request #14'!V56</f>
        <v>0</v>
      </c>
      <c r="W56" s="88">
        <f>SUMIF(F7:F79,45,E7:E79)</f>
        <v>0</v>
      </c>
      <c r="X56" s="88">
        <f>'Request #14'!Y56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#14'!AA56,"OK","Alert,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05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#14'!V57,"OK","Send in Change Order")</f>
        <v>OK</v>
      </c>
      <c r="S57" s="85">
        <v>46</v>
      </c>
      <c r="T57" s="86" t="str">
        <f>'Request #14'!T57</f>
        <v>Other Fees</v>
      </c>
      <c r="U57" s="218">
        <f>'Request #14'!U57</f>
        <v>0</v>
      </c>
      <c r="V57" s="87">
        <f>'Request #14'!V57</f>
        <v>0</v>
      </c>
      <c r="W57" s="88">
        <f>SUMIF(F7:F79,46,E7:E79)</f>
        <v>0</v>
      </c>
      <c r="X57" s="88">
        <f>'Request #14'!Y57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#14'!AA57,"OK","Alert,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05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#14'!V58,"OK","Send in Change Order")</f>
        <v>OK</v>
      </c>
      <c r="S58" s="85">
        <v>47</v>
      </c>
      <c r="T58" s="86" t="str">
        <f>'Request #14'!T58</f>
        <v>Other Fees</v>
      </c>
      <c r="U58" s="218">
        <f>'Request #14'!U58</f>
        <v>0</v>
      </c>
      <c r="V58" s="87">
        <f>'Request #14'!V58</f>
        <v>0</v>
      </c>
      <c r="W58" s="88">
        <f>SUMIF(F7:F79,47,E7:E79)</f>
        <v>0</v>
      </c>
      <c r="X58" s="88">
        <f>'Request #14'!Y58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#14'!AA58,"OK","Alert,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05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#14'!V59,"OK","Send in Change Order")</f>
        <v>OK</v>
      </c>
      <c r="S59" s="85">
        <v>48</v>
      </c>
      <c r="T59" s="86" t="str">
        <f>'Request #14'!T59</f>
        <v>Other Fees</v>
      </c>
      <c r="U59" s="218">
        <f>'Request #14'!U59</f>
        <v>0</v>
      </c>
      <c r="V59" s="87">
        <f>'Request #14'!V59</f>
        <v>0</v>
      </c>
      <c r="W59" s="88">
        <f>SUMIF(F7:F79,48,E7:E79)</f>
        <v>0</v>
      </c>
      <c r="X59" s="88">
        <f>'Request #14'!Y59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#14'!AA59,"OK","Alert,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05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#14'!V60,"OK","Send in Change Order")</f>
        <v>OK</v>
      </c>
      <c r="S60" s="85">
        <v>49</v>
      </c>
      <c r="T60" s="86" t="str">
        <f>'Request #14'!T60</f>
        <v>Other Fees</v>
      </c>
      <c r="U60" s="218">
        <f>'Request #14'!U60</f>
        <v>0</v>
      </c>
      <c r="V60" s="87">
        <f>'Request #14'!V60</f>
        <v>0</v>
      </c>
      <c r="W60" s="88">
        <f>SUMIF(F7:F79,49,E7:E79)</f>
        <v>0</v>
      </c>
      <c r="X60" s="88">
        <f>'Request #14'!Y60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#14'!AA60,"OK","Alert,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05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#14'!V61,"OK","Send in Change Order")</f>
        <v>OK</v>
      </c>
      <c r="S61" s="85">
        <v>50</v>
      </c>
      <c r="T61" s="86" t="str">
        <f>'Request #14'!T61</f>
        <v>Other Fees</v>
      </c>
      <c r="U61" s="218">
        <f>'Request #14'!U61</f>
        <v>0</v>
      </c>
      <c r="V61" s="87">
        <f>'Request #14'!V61</f>
        <v>0</v>
      </c>
      <c r="W61" s="88">
        <f>SUMIF(F7:F79,50,E7:E79)</f>
        <v>0</v>
      </c>
      <c r="X61" s="88">
        <f>'Request #14'!Y61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#14'!AA61,"OK","Alert,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05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#14'!V62,"OK","Send in Change Order")</f>
        <v>OK</v>
      </c>
      <c r="S62" s="85">
        <v>51</v>
      </c>
      <c r="T62" s="86" t="str">
        <f>'Request #14'!T62</f>
        <v>Other Fees</v>
      </c>
      <c r="U62" s="218">
        <f>'Request #14'!U62</f>
        <v>0</v>
      </c>
      <c r="V62" s="87">
        <f>'Request #14'!V62</f>
        <v>0</v>
      </c>
      <c r="W62" s="88">
        <f>SUMIF(F7:F79,51,E7:E79)</f>
        <v>0</v>
      </c>
      <c r="X62" s="88">
        <f>'Request #14'!Y62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#14'!AA62,"OK","Alert,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#14'!V63,"OK","Send in Change Order")</f>
        <v>OK</v>
      </c>
      <c r="S63" s="85">
        <v>52</v>
      </c>
      <c r="T63" s="86" t="str">
        <f>'Request #14'!T63</f>
        <v>Worked Performed by Owner</v>
      </c>
      <c r="U63" s="218">
        <f>'Request #14'!U63</f>
        <v>0</v>
      </c>
      <c r="V63" s="87">
        <f>'Request #14'!V63</f>
        <v>0</v>
      </c>
      <c r="W63" s="88">
        <f>SUMIF(F7:F79,52,E7:E79)</f>
        <v>0</v>
      </c>
      <c r="X63" s="88">
        <f>'Request #14'!Y63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#14'!AA63,"OK","Alert,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#14'!V64,"OK","Send in Change Order")</f>
        <v>OK</v>
      </c>
      <c r="S64" s="85">
        <v>53</v>
      </c>
      <c r="T64" s="86" t="str">
        <f>'Request #14'!T64</f>
        <v>Equipment (Major)</v>
      </c>
      <c r="U64" s="218">
        <f>'Request #14'!U64</f>
        <v>0</v>
      </c>
      <c r="V64" s="87">
        <f>'Request #14'!V64</f>
        <v>0</v>
      </c>
      <c r="W64" s="88">
        <f>SUMIF(F7:F79,53,E7:E79)</f>
        <v>0</v>
      </c>
      <c r="X64" s="88">
        <f>'Request #14'!Y64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#14'!AA64,"OK","Alert,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#14'!V65,"OK","Send in Change Order")</f>
        <v>OK</v>
      </c>
      <c r="S65" s="85">
        <v>54</v>
      </c>
      <c r="T65" s="102" t="s">
        <v>90</v>
      </c>
      <c r="U65" s="218">
        <f>'Request #14'!U65</f>
        <v>0</v>
      </c>
      <c r="V65" s="87">
        <f>'Request #14'!V65</f>
        <v>0</v>
      </c>
      <c r="W65" s="104"/>
      <c r="X65" s="88">
        <f>'Request #14'!Y65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#14'!AA65,"OK","Alert,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#14'!V66,"OK","Send in Change Order")</f>
        <v>OK</v>
      </c>
      <c r="S66" s="85">
        <v>55</v>
      </c>
      <c r="T66" s="86"/>
      <c r="U66" s="218">
        <f>'Request #14'!U66</f>
        <v>0</v>
      </c>
      <c r="V66" s="87">
        <f>'Request #14'!V66</f>
        <v>0</v>
      </c>
      <c r="W66" s="88">
        <f>SUMIF(F7:F79,55,E7:E79)</f>
        <v>0</v>
      </c>
      <c r="X66" s="88">
        <f>'Request #14'!Y66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#14'!AA66,"OK","Alert,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#14'!V67,"OK","Send in Change Order")</f>
        <v>OK</v>
      </c>
      <c r="S67" s="85">
        <v>56</v>
      </c>
      <c r="T67" s="79"/>
      <c r="U67" s="218">
        <f>'Request #14'!U67</f>
        <v>0</v>
      </c>
      <c r="V67" s="87">
        <f>'Request #14'!V67</f>
        <v>0</v>
      </c>
      <c r="W67" s="88">
        <f>SUMIF(F7:F79,56,E7:E79)</f>
        <v>0</v>
      </c>
      <c r="X67" s="88">
        <f>'Request #14'!Y67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#14'!AA67,"OK","Alert,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#14'!V68,"OK","Send in Change Order")</f>
        <v>OK</v>
      </c>
      <c r="S68" s="316" t="s">
        <v>60</v>
      </c>
      <c r="T68" s="317"/>
      <c r="U68" s="224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#14'!AA68,"OK","Alert,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25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226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27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28" t="e">
        <f>V72/V68</f>
        <v>#DIV/0!</v>
      </c>
      <c r="V72" s="88">
        <f>V68-V74-V73</f>
        <v>0</v>
      </c>
      <c r="W72" s="87">
        <v>0</v>
      </c>
      <c r="X72" s="88">
        <f>'Request #14'!Y72</f>
        <v>0</v>
      </c>
      <c r="Y72" s="88">
        <f t="shared" ref="Y72:Y73" si="8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#14'!V73,"OK","Send in Change Order")</f>
        <v>OK</v>
      </c>
      <c r="S73" s="86" t="s">
        <v>95</v>
      </c>
      <c r="T73" s="114"/>
      <c r="U73" s="228" t="e">
        <f>V73/V68</f>
        <v>#DIV/0!</v>
      </c>
      <c r="V73" s="87">
        <f>'Request #14'!V73</f>
        <v>0</v>
      </c>
      <c r="W73" s="87">
        <v>0</v>
      </c>
      <c r="X73" s="88">
        <f>'Request #14'!Y73</f>
        <v>0</v>
      </c>
      <c r="Y73" s="88">
        <f t="shared" si="8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#14'!V74,"OK","Send in Change Order")</f>
        <v>OK</v>
      </c>
      <c r="S74" s="120" t="s">
        <v>96</v>
      </c>
      <c r="T74" s="121"/>
      <c r="U74" s="228" t="e">
        <f>V74/V68</f>
        <v>#DIV/0!</v>
      </c>
      <c r="V74" s="87">
        <f>'Request #14'!V74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221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30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30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31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221"/>
      <c r="V80" s="55"/>
      <c r="W80" s="55"/>
      <c r="X80" s="138"/>
      <c r="Y80" s="45" t="s">
        <v>108</v>
      </c>
      <c r="Z80" s="43"/>
      <c r="AA80" s="88">
        <f>'Request #14'!AA79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00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01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01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01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01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15</v>
      </c>
      <c r="V87" s="55"/>
      <c r="W87" s="55"/>
      <c r="X87" s="138"/>
      <c r="Y87" s="45" t="s">
        <v>108</v>
      </c>
      <c r="Z87" s="43"/>
      <c r="AA87" s="88">
        <f>'Request #14'!AA86</f>
        <v>0</v>
      </c>
      <c r="AB87" s="110"/>
    </row>
    <row r="88" spans="1:28" ht="30" customHeight="1" thickBot="1" x14ac:dyDescent="0.35">
      <c r="S88" s="55"/>
      <c r="T88" s="55"/>
      <c r="U88" s="221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221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221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221"/>
      <c r="V91" s="55"/>
      <c r="W91" s="55"/>
      <c r="X91" s="55"/>
    </row>
    <row r="92" spans="1:28" ht="30" customHeight="1" x14ac:dyDescent="0.3">
      <c r="S92" s="55"/>
      <c r="T92" s="55"/>
      <c r="U92" s="221"/>
      <c r="V92" s="55"/>
      <c r="W92" s="55"/>
      <c r="X92" s="55"/>
    </row>
    <row r="93" spans="1:28" ht="30" customHeight="1" x14ac:dyDescent="0.3">
      <c r="S93" s="55"/>
      <c r="T93" s="55"/>
      <c r="U93" s="221"/>
      <c r="V93" s="55"/>
      <c r="W93" s="55"/>
      <c r="X93" s="55"/>
    </row>
    <row r="94" spans="1:28" ht="30" customHeight="1" x14ac:dyDescent="0.3">
      <c r="S94" s="55"/>
      <c r="T94" s="55"/>
      <c r="U94" s="221"/>
      <c r="V94" s="55"/>
      <c r="W94" s="55"/>
      <c r="X94" s="55"/>
    </row>
    <row r="95" spans="1:28" ht="30" customHeight="1" x14ac:dyDescent="0.3">
      <c r="S95" s="55"/>
      <c r="T95" s="55"/>
      <c r="U95" s="221"/>
      <c r="V95" s="55"/>
      <c r="W95" s="55"/>
      <c r="X95" s="55"/>
    </row>
    <row r="96" spans="1:28" ht="30" customHeight="1" x14ac:dyDescent="0.3">
      <c r="S96" s="55"/>
      <c r="T96" s="55"/>
      <c r="U96" s="221"/>
      <c r="V96" s="55"/>
      <c r="W96" s="55"/>
      <c r="X96" s="55"/>
    </row>
    <row r="97" spans="15:24" ht="30" customHeight="1" x14ac:dyDescent="0.3">
      <c r="S97" s="55"/>
      <c r="T97" s="55"/>
      <c r="U97" s="221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QAQVHtJAYjA3xs/SAYJEVmwcA5tvJeLBeZPvQ3b0D1LbE4CjsTrzzRi2E4tsUL312ZaFi6yEPUWv38U1K9pkGQ==" saltValue="6mx1o+657jjILikNSvjQ0Q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305" priority="9" operator="containsText" text="Change">
      <formula>NOT(ISERROR(SEARCH("Change",R1)))</formula>
    </cfRule>
  </conditionalFormatting>
  <conditionalFormatting sqref="R45:R48">
    <cfRule type="cellIs" dxfId="304" priority="7" operator="equal">
      <formula>"Send in Change Order"</formula>
    </cfRule>
  </conditionalFormatting>
  <conditionalFormatting sqref="W68">
    <cfRule type="cellIs" dxfId="303" priority="2" operator="notEqual">
      <formula>$E$82</formula>
    </cfRule>
    <cfRule type="cellIs" dxfId="302" priority="3" operator="greaterThan">
      <formula>$E$82</formula>
    </cfRule>
    <cfRule type="cellIs" dxfId="301" priority="4" operator="notEqual">
      <formula>$E$82</formula>
    </cfRule>
  </conditionalFormatting>
  <conditionalFormatting sqref="Z12:Z44">
    <cfRule type="cellIs" dxfId="300" priority="8" operator="lessThan">
      <formula>0</formula>
    </cfRule>
  </conditionalFormatting>
  <conditionalFormatting sqref="Z49:Z68">
    <cfRule type="cellIs" dxfId="299" priority="5" operator="lessThan">
      <formula>0</formula>
    </cfRule>
  </conditionalFormatting>
  <conditionalFormatting sqref="AA68">
    <cfRule type="cellIs" dxfId="298" priority="1" operator="notEqual">
      <formula>$O$82</formula>
    </cfRule>
  </conditionalFormatting>
  <conditionalFormatting sqref="AB45:AB48">
    <cfRule type="containsText" dxfId="297" priority="6" operator="containsText" text="Alert">
      <formula>NOT(ISERROR(SEARCH("Alert",AB45)))</formula>
    </cfRule>
  </conditionalFormatting>
  <conditionalFormatting sqref="AB57:AB58">
    <cfRule type="containsText" dxfId="296" priority="10" operator="containsText" text="Alert">
      <formula>NOT(ISERROR(SEARCH("Alert",AB57)))</formula>
    </cfRule>
  </conditionalFormatting>
  <pageMargins left="0.7" right="0.7" top="0.75" bottom="0.75" header="0.3" footer="0.3"/>
  <pageSetup scale="44" orientation="portrait" r:id="rId1"/>
  <rowBreaks count="1" manualBreakCount="1">
    <brk id="44" max="16383" man="1"/>
  </rowBreaks>
  <colBreaks count="11" manualBreakCount="11">
    <brk id="6" max="88" man="1"/>
    <brk id="10" max="1048575" man="1"/>
    <brk id="16" max="88" man="1"/>
    <brk id="18" max="1048575" man="1"/>
    <brk id="27" max="88" man="1"/>
    <brk id="29" max="1048575" man="1"/>
    <brk id="51" max="1048575" man="1"/>
    <brk id="52" max="1048575" man="1"/>
    <brk id="99" max="1048575" man="1"/>
    <brk id="101" max="1048575" man="1"/>
    <brk id="111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135"/>
  <sheetViews>
    <sheetView view="pageBreakPreview" topLeftCell="A64" zoomScale="60" zoomScaleNormal="100" workbookViewId="0">
      <selection activeCell="AB87" sqref="AB87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10937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7.88671875" style="50" customWidth="1"/>
    <col min="19" max="19" width="6.109375" style="39" customWidth="1"/>
    <col min="20" max="20" width="30.5546875" style="39" customWidth="1"/>
    <col min="21" max="21" width="17.77734375" style="219" customWidth="1"/>
    <col min="22" max="27" width="18.88671875" style="39" customWidth="1"/>
    <col min="28" max="28" width="24.4414062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220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16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220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220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221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22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23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16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218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#15'!V12,"OK","Send in Change Order")</f>
        <v>OK</v>
      </c>
      <c r="S12" s="85">
        <v>1</v>
      </c>
      <c r="T12" s="86" t="str">
        <f>'Request #15'!T12</f>
        <v>Land/Site Grading &amp; Improv.</v>
      </c>
      <c r="U12" s="218">
        <f>'Request #15'!U12</f>
        <v>0</v>
      </c>
      <c r="V12" s="87">
        <f>'Request #15'!V12</f>
        <v>0</v>
      </c>
      <c r="W12" s="88">
        <f>SUMIF(F7:F79,1,E7:E79)</f>
        <v>0</v>
      </c>
      <c r="X12" s="88">
        <f>'Request #15'!Y12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#15'!AA12,"OK","Alert,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#15'!V13,"OK","Send in Change Order")</f>
        <v>OK</v>
      </c>
      <c r="S13" s="85">
        <v>2</v>
      </c>
      <c r="T13" s="86" t="str">
        <f>'Request #15'!T13</f>
        <v xml:space="preserve">General Contract </v>
      </c>
      <c r="U13" s="218">
        <f>'Request #15'!U13</f>
        <v>0</v>
      </c>
      <c r="V13" s="87">
        <f>'Request #15'!V13</f>
        <v>0</v>
      </c>
      <c r="W13" s="88">
        <f>SUMIF(F7:F79,2,E7:E79)</f>
        <v>0</v>
      </c>
      <c r="X13" s="88">
        <f>'Request #15'!Y13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#15'!AA13,"OK","Alert,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#15'!V14,"OK","Send in Change Order")</f>
        <v>OK</v>
      </c>
      <c r="S14" s="85">
        <v>3</v>
      </c>
      <c r="T14" s="86" t="str">
        <f>'Request #15'!T14</f>
        <v>Designer Contract</v>
      </c>
      <c r="U14" s="218">
        <f>'Request #15'!U14</f>
        <v>0</v>
      </c>
      <c r="V14" s="87">
        <f>'Request #15'!V14</f>
        <v>0</v>
      </c>
      <c r="W14" s="88">
        <f>SUMIF(F7:F79,3,E7:E79)</f>
        <v>0</v>
      </c>
      <c r="X14" s="88">
        <f>'Request #15'!Y14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#15'!AA14,"OK","Alert,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#15'!V15,"OK","Send in Change Order")</f>
        <v>OK</v>
      </c>
      <c r="S15" s="85">
        <v>4</v>
      </c>
      <c r="T15" s="86" t="str">
        <f>'Request #15'!T15</f>
        <v>Designer Reimbursables</v>
      </c>
      <c r="U15" s="218">
        <f>'Request #15'!U15</f>
        <v>0</v>
      </c>
      <c r="V15" s="87">
        <f>'Request #15'!V15</f>
        <v>0</v>
      </c>
      <c r="W15" s="88">
        <f>SUMIF(F7:F79,4,E7:E79)</f>
        <v>0</v>
      </c>
      <c r="X15" s="88">
        <f>'Request #15'!Y15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#15'!AA15,"OK","Alert,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#15'!V16,"OK","Send in Change Order")</f>
        <v>OK</v>
      </c>
      <c r="S16" s="85">
        <v>5</v>
      </c>
      <c r="T16" s="86" t="str">
        <f>'Request #15'!T16</f>
        <v>Other Contracts</v>
      </c>
      <c r="U16" s="218">
        <f>'Request #15'!U16</f>
        <v>0</v>
      </c>
      <c r="V16" s="87">
        <f>'Request #15'!V16</f>
        <v>0</v>
      </c>
      <c r="W16" s="88">
        <f>SUMIF(F7:F79,5,E7:E79)</f>
        <v>0</v>
      </c>
      <c r="X16" s="88">
        <f>'Request #15'!Y16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#15'!AA16,"OK","Alert,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#15'!V17,"OK","Send in Change Order")</f>
        <v>OK</v>
      </c>
      <c r="S17" s="85">
        <v>6</v>
      </c>
      <c r="T17" s="86" t="str">
        <f>'Request #15'!T17</f>
        <v>Other Contracts</v>
      </c>
      <c r="U17" s="218">
        <f>'Request #15'!U17</f>
        <v>0</v>
      </c>
      <c r="V17" s="87">
        <f>'Request #15'!V17</f>
        <v>0</v>
      </c>
      <c r="W17" s="88">
        <f>SUMIF(F7:F79,6,E7:E79)</f>
        <v>0</v>
      </c>
      <c r="X17" s="88">
        <f>'Request #15'!Y17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#15'!AA17,"OK","Alert,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#15'!V18,"OK","Send in Change Order")</f>
        <v>OK</v>
      </c>
      <c r="S18" s="85">
        <v>7</v>
      </c>
      <c r="T18" s="86" t="str">
        <f>'Request #15'!T18</f>
        <v>Other Contracts</v>
      </c>
      <c r="U18" s="218">
        <f>'Request #15'!U18</f>
        <v>0</v>
      </c>
      <c r="V18" s="87">
        <f>'Request #15'!V18</f>
        <v>0</v>
      </c>
      <c r="W18" s="88">
        <f>SUMIF(F7:F79,7,E7:E79)</f>
        <v>0</v>
      </c>
      <c r="X18" s="88">
        <f>'Request #15'!Y18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#15'!AA18,"OK","Alert,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#15'!V19,"OK","Send in Change Order")</f>
        <v>OK</v>
      </c>
      <c r="S19" s="85">
        <v>8</v>
      </c>
      <c r="T19" s="86" t="str">
        <f>'Request #15'!T19</f>
        <v>Other Contracts</v>
      </c>
      <c r="U19" s="218">
        <f>'Request #15'!U19</f>
        <v>0</v>
      </c>
      <c r="V19" s="87">
        <f>'Request #15'!V19</f>
        <v>0</v>
      </c>
      <c r="W19" s="88">
        <f>SUMIF(F7:F79,8,E7:E79)</f>
        <v>0</v>
      </c>
      <c r="X19" s="88">
        <f>'Request #15'!Y19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#15'!AA19,"OK","Alert,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#15'!V20,"OK","Send in Change Order")</f>
        <v>OK</v>
      </c>
      <c r="S20" s="85">
        <v>9</v>
      </c>
      <c r="T20" s="86" t="str">
        <f>'Request #15'!T20</f>
        <v>Other Contracts</v>
      </c>
      <c r="U20" s="218">
        <f>'Request #15'!U20</f>
        <v>0</v>
      </c>
      <c r="V20" s="87">
        <f>'Request #15'!V20</f>
        <v>0</v>
      </c>
      <c r="W20" s="88">
        <f>SUMIF(F7:F79,9,E7:E79)</f>
        <v>0</v>
      </c>
      <c r="X20" s="88">
        <f>'Request #15'!Y20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#15'!AA20,"OK","Alert,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#15'!V21,"OK","Send in Change Order")</f>
        <v>OK</v>
      </c>
      <c r="S21" s="85">
        <v>10</v>
      </c>
      <c r="T21" s="86" t="str">
        <f>'Request #15'!T21</f>
        <v>Other Contracts</v>
      </c>
      <c r="U21" s="218">
        <f>'Request #15'!U21</f>
        <v>0</v>
      </c>
      <c r="V21" s="87">
        <f>'Request #15'!V21</f>
        <v>0</v>
      </c>
      <c r="W21" s="88">
        <f>SUMIF(F7:F79,10,E7:E79)</f>
        <v>0</v>
      </c>
      <c r="X21" s="88">
        <f>'Request #15'!Y21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#15'!AA21,"OK","Alert,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#15'!V22,"OK","Send in Change Order")</f>
        <v>OK</v>
      </c>
      <c r="S22" s="85">
        <v>11</v>
      </c>
      <c r="T22" s="86" t="str">
        <f>'Request #15'!T22</f>
        <v>Other Contracts</v>
      </c>
      <c r="U22" s="218">
        <f>'Request #15'!U22</f>
        <v>0</v>
      </c>
      <c r="V22" s="87">
        <f>'Request #15'!V22</f>
        <v>0</v>
      </c>
      <c r="W22" s="88">
        <f>SUMIF(F7:F79,11,E7:E79)</f>
        <v>0</v>
      </c>
      <c r="X22" s="88">
        <f>'Request #15'!Y22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#15'!AA22,"OK","Alert,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#15'!V23,"OK","Send in Change Order")</f>
        <v>OK</v>
      </c>
      <c r="S23" s="85">
        <v>12</v>
      </c>
      <c r="T23" s="86" t="str">
        <f>'Request #15'!T23</f>
        <v>Other Contracts</v>
      </c>
      <c r="U23" s="218">
        <f>'Request #15'!U23</f>
        <v>0</v>
      </c>
      <c r="V23" s="87">
        <f>'Request #15'!V23</f>
        <v>0</v>
      </c>
      <c r="W23" s="88">
        <f>SUMIF(F7:F79,12,E7:E79)</f>
        <v>0</v>
      </c>
      <c r="X23" s="88">
        <f>'Request #15'!Y23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#15'!AA23,"OK","Alert,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#15'!V24,"OK","Send in Change Order")</f>
        <v>OK</v>
      </c>
      <c r="S24" s="85">
        <v>13</v>
      </c>
      <c r="T24" s="86" t="str">
        <f>'Request #15'!T24</f>
        <v>Other Contracts</v>
      </c>
      <c r="U24" s="218">
        <f>'Request #15'!U24</f>
        <v>0</v>
      </c>
      <c r="V24" s="87">
        <f>'Request #15'!V24</f>
        <v>0</v>
      </c>
      <c r="W24" s="88">
        <f>SUMIF(F7:F79,13,E7:E79)</f>
        <v>0</v>
      </c>
      <c r="X24" s="88">
        <f>'Request #15'!Y24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#15'!AA24,"OK","Alert,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#15'!V25,"OK","Send in Change Order")</f>
        <v>OK</v>
      </c>
      <c r="S25" s="85">
        <v>14</v>
      </c>
      <c r="T25" s="86" t="str">
        <f>'Request #15'!T25</f>
        <v>Other Contracts</v>
      </c>
      <c r="U25" s="218">
        <f>'Request #15'!U25</f>
        <v>0</v>
      </c>
      <c r="V25" s="87">
        <f>'Request #15'!V25</f>
        <v>0</v>
      </c>
      <c r="W25" s="88">
        <f>SUMIF(F7:F79,14,E7:E79)</f>
        <v>0</v>
      </c>
      <c r="X25" s="88">
        <f>'Request #15'!Y25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#15'!AA25,"OK","Alert,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#15'!V26,"OK","Send in Change Order")</f>
        <v>OK</v>
      </c>
      <c r="S26" s="85">
        <v>15</v>
      </c>
      <c r="T26" s="86" t="str">
        <f>'Request #15'!T26</f>
        <v>Other Contracts</v>
      </c>
      <c r="U26" s="218">
        <f>'Request #15'!U26</f>
        <v>0</v>
      </c>
      <c r="V26" s="87">
        <f>'Request #15'!V26</f>
        <v>0</v>
      </c>
      <c r="W26" s="88">
        <f>SUMIF(F7:F79,15,E7:E79)</f>
        <v>0</v>
      </c>
      <c r="X26" s="88">
        <f>'Request #15'!Y26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#15'!AA26,"OK","Alert,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#15'!V27,"OK","Send in Change Order")</f>
        <v>OK</v>
      </c>
      <c r="S27" s="85">
        <v>16</v>
      </c>
      <c r="T27" s="86" t="str">
        <f>'Request #15'!T27</f>
        <v>Other Contracts</v>
      </c>
      <c r="U27" s="218">
        <f>'Request #15'!U27</f>
        <v>0</v>
      </c>
      <c r="V27" s="87">
        <f>'Request #15'!V27</f>
        <v>0</v>
      </c>
      <c r="W27" s="88">
        <f>SUMIF(F7:F79,16,E7:E79)</f>
        <v>0</v>
      </c>
      <c r="X27" s="88">
        <f>'Request #15'!Y27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#15'!AA27,"OK","Alert,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#15'!V28,"OK","Send in Change Order")</f>
        <v>OK</v>
      </c>
      <c r="S28" s="85">
        <v>17</v>
      </c>
      <c r="T28" s="86" t="str">
        <f>'Request #15'!T28</f>
        <v>Other Contracts</v>
      </c>
      <c r="U28" s="218">
        <f>'Request #15'!U28</f>
        <v>0</v>
      </c>
      <c r="V28" s="87">
        <f>'Request #15'!V28</f>
        <v>0</v>
      </c>
      <c r="W28" s="88">
        <f>SUMIF(F7:F79,17,E7:E79)</f>
        <v>0</v>
      </c>
      <c r="X28" s="88">
        <f>'Request #15'!Y28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#15'!AA28,"OK","Alert,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#15'!V29,"OK","Send in Change Order")</f>
        <v>OK</v>
      </c>
      <c r="S29" s="85">
        <v>18</v>
      </c>
      <c r="T29" s="86" t="str">
        <f>'Request #15'!T29</f>
        <v>Other Contracts</v>
      </c>
      <c r="U29" s="218">
        <f>'Request #15'!U29</f>
        <v>0</v>
      </c>
      <c r="V29" s="87">
        <f>'Request #15'!V29</f>
        <v>0</v>
      </c>
      <c r="W29" s="88">
        <f>SUMIF(F7:F79,18,E7:E79)</f>
        <v>0</v>
      </c>
      <c r="X29" s="88">
        <f>'Request #15'!Y29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#15'!AA29,"OK","Alert,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#15'!V30,"OK","Send in Change Order")</f>
        <v>OK</v>
      </c>
      <c r="S30" s="85">
        <v>19</v>
      </c>
      <c r="T30" s="86" t="str">
        <f>'Request #15'!T30</f>
        <v>Other Contracts</v>
      </c>
      <c r="U30" s="218">
        <f>'Request #15'!U30</f>
        <v>0</v>
      </c>
      <c r="V30" s="87">
        <f>'Request #15'!V30</f>
        <v>0</v>
      </c>
      <c r="W30" s="88">
        <f>SUMIF(F7:F79,19,E7:E79)</f>
        <v>0</v>
      </c>
      <c r="X30" s="88">
        <f>'Request #15'!Y30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#15'!AA30,"OK","Alert,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#15'!V31,"OK","Send in Change Order")</f>
        <v>OK</v>
      </c>
      <c r="S31" s="85">
        <v>20</v>
      </c>
      <c r="T31" s="86" t="str">
        <f>'Request #15'!T31</f>
        <v>Other Contracts</v>
      </c>
      <c r="U31" s="218">
        <f>'Request #15'!U31</f>
        <v>0</v>
      </c>
      <c r="V31" s="87">
        <f>'Request #15'!V31</f>
        <v>0</v>
      </c>
      <c r="W31" s="88">
        <f>SUMIF(F7:F79,20,E7:E79)</f>
        <v>0</v>
      </c>
      <c r="X31" s="88">
        <f>'Request #15'!Y31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#15'!AA31,"OK","Alert,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#15'!V32,"OK","Send in Change Order")</f>
        <v>OK</v>
      </c>
      <c r="S32" s="85">
        <v>21</v>
      </c>
      <c r="T32" s="86" t="str">
        <f>'Request #15'!T32</f>
        <v>Other Contracts</v>
      </c>
      <c r="U32" s="218">
        <f>'Request #15'!U32</f>
        <v>0</v>
      </c>
      <c r="V32" s="87">
        <f>'Request #15'!V32</f>
        <v>0</v>
      </c>
      <c r="W32" s="88">
        <f>SUMIF(F7:F79,21,E7:E79)</f>
        <v>0</v>
      </c>
      <c r="X32" s="88">
        <f>'Request #15'!Y32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#15'!AA32,"OK","Alert,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#15'!V33,"OK","Send in Change Order")</f>
        <v>OK</v>
      </c>
      <c r="S33" s="85">
        <v>22</v>
      </c>
      <c r="T33" s="86" t="str">
        <f>'Request #15'!T33</f>
        <v>Other Contracts</v>
      </c>
      <c r="U33" s="218">
        <f>'Request #15'!U33</f>
        <v>0</v>
      </c>
      <c r="V33" s="87">
        <f>'Request #15'!V33</f>
        <v>0</v>
      </c>
      <c r="W33" s="88">
        <f>SUMIF(F7:F79,22,E7:E79)</f>
        <v>0</v>
      </c>
      <c r="X33" s="88">
        <f>'Request #15'!Y33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#15'!AA33,"OK","Alert,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#15'!V34,"OK","Send in Change Order")</f>
        <v>OK</v>
      </c>
      <c r="S34" s="85">
        <v>23</v>
      </c>
      <c r="T34" s="86" t="str">
        <f>'Request #15'!T34</f>
        <v>Other Contracts</v>
      </c>
      <c r="U34" s="218">
        <f>'Request #15'!U34</f>
        <v>0</v>
      </c>
      <c r="V34" s="87">
        <f>'Request #15'!V34</f>
        <v>0</v>
      </c>
      <c r="W34" s="88">
        <f>SUMIF(F7:F79,23,E7:E79)</f>
        <v>0</v>
      </c>
      <c r="X34" s="88">
        <f>'Request #15'!Y34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#15'!AA34,"OK","Alert,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#15'!V35,"OK","Send in Change Order")</f>
        <v>OK</v>
      </c>
      <c r="S35" s="85">
        <v>24</v>
      </c>
      <c r="T35" s="86" t="str">
        <f>'Request #15'!T35</f>
        <v>Other Contracts</v>
      </c>
      <c r="U35" s="218">
        <f>'Request #15'!U35</f>
        <v>0</v>
      </c>
      <c r="V35" s="87">
        <f>'Request #15'!V35</f>
        <v>0</v>
      </c>
      <c r="W35" s="88">
        <f>SUMIF(F7:F79,24,E7:E79)</f>
        <v>0</v>
      </c>
      <c r="X35" s="88">
        <f>'Request #15'!Y35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#15'!AA35,"OK","Alert,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#15'!V36,"OK","Send in Change Order")</f>
        <v>OK</v>
      </c>
      <c r="S36" s="85">
        <v>25</v>
      </c>
      <c r="T36" s="86" t="str">
        <f>'Request #15'!T36</f>
        <v>Other Contracts</v>
      </c>
      <c r="U36" s="218">
        <f>'Request #15'!U36</f>
        <v>0</v>
      </c>
      <c r="V36" s="87">
        <f>'Request #15'!V36</f>
        <v>0</v>
      </c>
      <c r="W36" s="88">
        <f>SUMIF(F7:F79,25,E7:E79)</f>
        <v>0</v>
      </c>
      <c r="X36" s="88">
        <f>'Request #15'!Y36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#15'!AA36,"OK","Alert,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#15'!V37,"OK","Send in Change Order")</f>
        <v>OK</v>
      </c>
      <c r="S37" s="85">
        <v>26</v>
      </c>
      <c r="T37" s="86" t="str">
        <f>'Request #15'!T37</f>
        <v>Other Fees</v>
      </c>
      <c r="U37" s="218">
        <f>'Request #15'!U37</f>
        <v>0</v>
      </c>
      <c r="V37" s="87">
        <f>'Request #15'!V37</f>
        <v>0</v>
      </c>
      <c r="W37" s="88">
        <f>SUMIF(F7:F79,26,E7:E79)</f>
        <v>0</v>
      </c>
      <c r="X37" s="88">
        <f>'Request #15'!Y37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#15'!AA37,"OK","Alert,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#15'!V38,"OK","Send in Change Order")</f>
        <v>OK</v>
      </c>
      <c r="S38" s="85">
        <v>27</v>
      </c>
      <c r="T38" s="86" t="str">
        <f>'Request #15'!T38</f>
        <v>Other Fees</v>
      </c>
      <c r="U38" s="218">
        <f>'Request #15'!U38</f>
        <v>0</v>
      </c>
      <c r="V38" s="87">
        <f>'Request #15'!V38</f>
        <v>0</v>
      </c>
      <c r="W38" s="88">
        <f>SUMIF(F7:F79,27,E7:E79)</f>
        <v>0</v>
      </c>
      <c r="X38" s="88">
        <f>'Request #15'!Y38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#15'!AA38,"OK","Alert,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#15'!V39,"OK","Send in Change Order")</f>
        <v>OK</v>
      </c>
      <c r="S39" s="85">
        <v>28</v>
      </c>
      <c r="T39" s="86" t="str">
        <f>'Request #15'!T39</f>
        <v>Other Fees</v>
      </c>
      <c r="U39" s="218">
        <f>'Request #15'!U39</f>
        <v>0</v>
      </c>
      <c r="V39" s="87">
        <f>'Request #15'!V39</f>
        <v>0</v>
      </c>
      <c r="W39" s="88">
        <f>SUMIF(F7:F79,28,E7:E79)</f>
        <v>0</v>
      </c>
      <c r="X39" s="88">
        <f>'Request #15'!Y39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#15'!AA39,"OK","Alert,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#15'!V40,"OK","Send in Change Order")</f>
        <v>OK</v>
      </c>
      <c r="S40" s="85">
        <v>29</v>
      </c>
      <c r="T40" s="86" t="str">
        <f>'Request #15'!T40</f>
        <v>Other Fees</v>
      </c>
      <c r="U40" s="218">
        <f>'Request #15'!U40</f>
        <v>0</v>
      </c>
      <c r="V40" s="87">
        <f>'Request #15'!V40</f>
        <v>0</v>
      </c>
      <c r="W40" s="88">
        <f>SUMIF(F7:F79,29,E7:E79)</f>
        <v>0</v>
      </c>
      <c r="X40" s="88">
        <f>'Request #15'!Y40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#15'!AA40,"OK","Alert,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#15'!V41,"OK","Send in Change Order")</f>
        <v>OK</v>
      </c>
      <c r="S41" s="85">
        <v>30</v>
      </c>
      <c r="T41" s="86" t="str">
        <f>'Request #15'!T41</f>
        <v>Other Fees</v>
      </c>
      <c r="U41" s="218">
        <f>'Request #15'!U41</f>
        <v>0</v>
      </c>
      <c r="V41" s="87">
        <f>'Request #15'!V41</f>
        <v>0</v>
      </c>
      <c r="W41" s="88">
        <f>SUMIF(F7:F79,30,E7:E79)</f>
        <v>0</v>
      </c>
      <c r="X41" s="88">
        <f>'Request #15'!Y41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#15'!AA41,"OK","Alert,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#15'!V42,"OK","Send in Change Order")</f>
        <v>OK</v>
      </c>
      <c r="S42" s="85">
        <v>31</v>
      </c>
      <c r="T42" s="86" t="str">
        <f>'Request #15'!T42</f>
        <v>Other Fees</v>
      </c>
      <c r="U42" s="218">
        <f>'Request #15'!U42</f>
        <v>0</v>
      </c>
      <c r="V42" s="87">
        <f>'Request #15'!V42</f>
        <v>0</v>
      </c>
      <c r="W42" s="88">
        <f>SUMIF(F7:F79,31,E7:E79)</f>
        <v>0</v>
      </c>
      <c r="X42" s="88">
        <f>'Request #15'!Y42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#15'!AA42,"OK","Alert,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#15'!V43,"OK","Send in Change Order")</f>
        <v>OK</v>
      </c>
      <c r="S43" s="85">
        <v>32</v>
      </c>
      <c r="T43" s="86" t="str">
        <f>'Request #15'!T43</f>
        <v>Other Fees</v>
      </c>
      <c r="U43" s="218">
        <f>'Request #15'!U43</f>
        <v>0</v>
      </c>
      <c r="V43" s="87">
        <f>'Request #15'!V43</f>
        <v>0</v>
      </c>
      <c r="W43" s="88">
        <f>SUMIF(F7:F79,32,E7:E79)</f>
        <v>0</v>
      </c>
      <c r="X43" s="88">
        <f>'Request #15'!Y43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#15'!AA43,"OK","Alert,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#15'!V44,"OK","Send in Change Order")</f>
        <v>OK</v>
      </c>
      <c r="S44" s="85">
        <v>33</v>
      </c>
      <c r="T44" s="86" t="str">
        <f>'Request #15'!T44</f>
        <v>Other Fees</v>
      </c>
      <c r="U44" s="218">
        <f>'Request #15'!U44</f>
        <v>0</v>
      </c>
      <c r="V44" s="87">
        <f>'Request #15'!V44</f>
        <v>0</v>
      </c>
      <c r="W44" s="88">
        <f>SUMIF(F7:F79,33,E7:E79)</f>
        <v>0</v>
      </c>
      <c r="X44" s="88">
        <f>'Request #15'!Y44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#15'!AA44,"OK","Alert,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#15'!V49,"OK","Send in Change Order")</f>
        <v>OK</v>
      </c>
      <c r="S49" s="85">
        <v>38</v>
      </c>
      <c r="T49" s="86" t="str">
        <f>'Request #15'!T49</f>
        <v>Other Fees</v>
      </c>
      <c r="U49" s="218">
        <f>'Request #15'!U49</f>
        <v>0</v>
      </c>
      <c r="V49" s="87">
        <f>'Request #15'!V49</f>
        <v>0</v>
      </c>
      <c r="W49" s="88">
        <f>SUMIF(F7:F79,38,E7:E79)</f>
        <v>0</v>
      </c>
      <c r="X49" s="88">
        <f>'Request #15'!Y49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#15'!AA49,"OK","Alert,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#15'!V50,"OK","Send in Change Order")</f>
        <v>OK</v>
      </c>
      <c r="S50" s="85">
        <v>39</v>
      </c>
      <c r="T50" s="86" t="str">
        <f>'Request #15'!T50</f>
        <v>Other Fees</v>
      </c>
      <c r="U50" s="218">
        <f>'Request #15'!U50</f>
        <v>0</v>
      </c>
      <c r="V50" s="87">
        <f>'Request #15'!V50</f>
        <v>0</v>
      </c>
      <c r="W50" s="88">
        <f>SUMIF(F7:F79,39,E7:E79)</f>
        <v>0</v>
      </c>
      <c r="X50" s="88">
        <f>'Request #15'!Y50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#15'!AA50,"OK","Alert,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#15'!V51,"OK","Send in Change Order")</f>
        <v>OK</v>
      </c>
      <c r="S51" s="85">
        <v>40</v>
      </c>
      <c r="T51" s="86" t="str">
        <f>'Request #15'!T51</f>
        <v>Other Fees</v>
      </c>
      <c r="U51" s="218">
        <f>'Request #15'!U51</f>
        <v>0</v>
      </c>
      <c r="V51" s="87">
        <f>'Request #15'!V51</f>
        <v>0</v>
      </c>
      <c r="W51" s="88">
        <f>SUMIF(F7:F79,40,E7:E79)</f>
        <v>0</v>
      </c>
      <c r="X51" s="88">
        <f>'Request #15'!Y51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#15'!AA51,"OK","Alert,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#15'!V52,"OK","Send in Change Order")</f>
        <v>OK</v>
      </c>
      <c r="S52" s="85">
        <v>41</v>
      </c>
      <c r="T52" s="86" t="str">
        <f>'Request #15'!T52</f>
        <v>Other Fees</v>
      </c>
      <c r="U52" s="218">
        <f>'Request #15'!U52</f>
        <v>0</v>
      </c>
      <c r="V52" s="87">
        <f>'Request #15'!V52</f>
        <v>0</v>
      </c>
      <c r="W52" s="88">
        <f>SUMIF(F7:F79,41,E7:E79)</f>
        <v>0</v>
      </c>
      <c r="X52" s="88">
        <f>'Request #15'!Y52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#15'!AA52,"OK","Alert,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#15'!V53,"OK","Send in Change Order")</f>
        <v>OK</v>
      </c>
      <c r="S53" s="85">
        <v>42</v>
      </c>
      <c r="T53" s="86" t="str">
        <f>'Request #15'!T53</f>
        <v>Other Fees</v>
      </c>
      <c r="U53" s="218">
        <f>'Request #15'!U53</f>
        <v>0</v>
      </c>
      <c r="V53" s="87">
        <f>'Request #15'!V53</f>
        <v>0</v>
      </c>
      <c r="W53" s="88">
        <f>SUMIF(F7:F79,42,E7:E79)</f>
        <v>0</v>
      </c>
      <c r="X53" s="88">
        <f>'Request #15'!Y53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#15'!AA53,"OK","Alert,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#15'!V54,"OK","Send in Change Order")</f>
        <v>OK</v>
      </c>
      <c r="S54" s="85">
        <v>43</v>
      </c>
      <c r="T54" s="86" t="str">
        <f>'Request #15'!T54</f>
        <v>Other Fees</v>
      </c>
      <c r="U54" s="218">
        <f>'Request #15'!U54</f>
        <v>0</v>
      </c>
      <c r="V54" s="87">
        <f>'Request #15'!V54</f>
        <v>0</v>
      </c>
      <c r="W54" s="88">
        <f>SUMIF(F7:F79,43,E7:E79)</f>
        <v>0</v>
      </c>
      <c r="X54" s="88">
        <f>'Request #15'!Y54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#15'!AA54,"OK","Alert,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#15'!V55,"OK","Send in Change Order")</f>
        <v>OK</v>
      </c>
      <c r="S55" s="85">
        <v>44</v>
      </c>
      <c r="T55" s="86" t="str">
        <f>'Request #15'!T55</f>
        <v>Other Fees</v>
      </c>
      <c r="U55" s="218">
        <f>'Request #15'!U55</f>
        <v>0</v>
      </c>
      <c r="V55" s="87">
        <f>'Request #15'!V55</f>
        <v>0</v>
      </c>
      <c r="W55" s="88">
        <f>SUMIF(F7:F79,44,E7:E79)</f>
        <v>0</v>
      </c>
      <c r="X55" s="88">
        <f>'Request #15'!Y55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#15'!AA55,"OK","Alert,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#15'!V56,"OK","Send in Change Order")</f>
        <v>OK</v>
      </c>
      <c r="S56" s="85">
        <v>45</v>
      </c>
      <c r="T56" s="86" t="str">
        <f>'Request #15'!T56</f>
        <v>Other Fees</v>
      </c>
      <c r="U56" s="218">
        <f>'Request #15'!U56</f>
        <v>0</v>
      </c>
      <c r="V56" s="87">
        <f>'Request #15'!V56</f>
        <v>0</v>
      </c>
      <c r="W56" s="88">
        <f>SUMIF(F7:F79,45,E7:E79)</f>
        <v>0</v>
      </c>
      <c r="X56" s="88">
        <f>'Request #15'!Y56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#15'!AA56,"OK","Alert,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#15'!V57,"OK","Send in Change Order")</f>
        <v>OK</v>
      </c>
      <c r="S57" s="85">
        <v>46</v>
      </c>
      <c r="T57" s="86" t="str">
        <f>'Request #15'!T57</f>
        <v>Other Fees</v>
      </c>
      <c r="U57" s="218">
        <f>'Request #15'!U57</f>
        <v>0</v>
      </c>
      <c r="V57" s="87">
        <f>'Request #15'!V57</f>
        <v>0</v>
      </c>
      <c r="W57" s="88">
        <f>SUMIF(F7:F79,46,E7:E79)</f>
        <v>0</v>
      </c>
      <c r="X57" s="88">
        <f>'Request #15'!Y57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#15'!AA57,"OK","Alert,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#15'!V58,"OK","Send in Change Order")</f>
        <v>OK</v>
      </c>
      <c r="S58" s="85">
        <v>47</v>
      </c>
      <c r="T58" s="86" t="str">
        <f>'Request #15'!T58</f>
        <v>Other Fees</v>
      </c>
      <c r="U58" s="218">
        <f>'Request #15'!U58</f>
        <v>0</v>
      </c>
      <c r="V58" s="87">
        <f>'Request #15'!V58</f>
        <v>0</v>
      </c>
      <c r="W58" s="88">
        <f>SUMIF(F7:F79,47,E7:E79)</f>
        <v>0</v>
      </c>
      <c r="X58" s="88">
        <f>'Request #15'!Y58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#15'!AA58,"OK","Alert,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#15'!V59,"OK","Send in Change Order")</f>
        <v>OK</v>
      </c>
      <c r="S59" s="85">
        <v>48</v>
      </c>
      <c r="T59" s="86" t="str">
        <f>'Request #15'!T59</f>
        <v>Other Fees</v>
      </c>
      <c r="U59" s="218">
        <f>'Request #15'!U59</f>
        <v>0</v>
      </c>
      <c r="V59" s="87">
        <f>'Request #15'!V59</f>
        <v>0</v>
      </c>
      <c r="W59" s="88">
        <f>SUMIF(F7:F79,48,E7:E79)</f>
        <v>0</v>
      </c>
      <c r="X59" s="88">
        <f>'Request #15'!Y59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#15'!AA59,"OK","Alert,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#15'!V60,"OK","Send in Change Order")</f>
        <v>OK</v>
      </c>
      <c r="S60" s="85">
        <v>49</v>
      </c>
      <c r="T60" s="86" t="str">
        <f>'Request #15'!T60</f>
        <v>Other Fees</v>
      </c>
      <c r="U60" s="218">
        <f>'Request #15'!U60</f>
        <v>0</v>
      </c>
      <c r="V60" s="87">
        <f>'Request #15'!V60</f>
        <v>0</v>
      </c>
      <c r="W60" s="88">
        <f>SUMIF(F7:F79,49,E7:E79)</f>
        <v>0</v>
      </c>
      <c r="X60" s="88">
        <f>'Request #15'!Y60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#15'!AA60,"OK","Alert,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#15'!V61,"OK","Send in Change Order")</f>
        <v>OK</v>
      </c>
      <c r="S61" s="85">
        <v>50</v>
      </c>
      <c r="T61" s="86" t="str">
        <f>'Request #15'!T61</f>
        <v>Other Fees</v>
      </c>
      <c r="U61" s="218">
        <f>'Request #15'!U61</f>
        <v>0</v>
      </c>
      <c r="V61" s="87">
        <f>'Request #15'!V61</f>
        <v>0</v>
      </c>
      <c r="W61" s="88">
        <f>SUMIF(F7:F79,50,E7:E79)</f>
        <v>0</v>
      </c>
      <c r="X61" s="88">
        <f>'Request #15'!Y61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#15'!AA61,"OK","Alert,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#15'!V62,"OK","Send in Change Order")</f>
        <v>OK</v>
      </c>
      <c r="S62" s="85">
        <v>51</v>
      </c>
      <c r="T62" s="86" t="str">
        <f>'Request #15'!T62</f>
        <v>Other Fees</v>
      </c>
      <c r="U62" s="218">
        <f>'Request #15'!U62</f>
        <v>0</v>
      </c>
      <c r="V62" s="87">
        <f>'Request #15'!V62</f>
        <v>0</v>
      </c>
      <c r="W62" s="88">
        <f>SUMIF(F7:F79,51,E7:E79)</f>
        <v>0</v>
      </c>
      <c r="X62" s="88">
        <f>'Request #15'!Y62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#15'!AA62,"OK","Alert,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#15'!V63,"OK","Send in Change Order")</f>
        <v>OK</v>
      </c>
      <c r="S63" s="85">
        <v>52</v>
      </c>
      <c r="T63" s="86" t="str">
        <f>'Request #15'!T63</f>
        <v>Worked Performed by Owner</v>
      </c>
      <c r="U63" s="218">
        <f>'Request #15'!U63</f>
        <v>0</v>
      </c>
      <c r="V63" s="87">
        <f>'Request #15'!V63</f>
        <v>0</v>
      </c>
      <c r="W63" s="44">
        <f>SUMIF(F7:F79,52,E7:E79)</f>
        <v>0</v>
      </c>
      <c r="X63" s="88">
        <f>'Request #15'!Y63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#15'!AA63,"OK","Alert,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#15'!V64,"OK","Send in Change Order")</f>
        <v>OK</v>
      </c>
      <c r="S64" s="85">
        <v>53</v>
      </c>
      <c r="T64" s="86" t="str">
        <f>'Request #15'!T64</f>
        <v>Equipment (Major)</v>
      </c>
      <c r="U64" s="218">
        <f>'Request #15'!U64</f>
        <v>0</v>
      </c>
      <c r="V64" s="87">
        <f>'Request #15'!V64</f>
        <v>0</v>
      </c>
      <c r="W64" s="88">
        <f>SUMIF(F7:F79,53,E7:E79)</f>
        <v>0</v>
      </c>
      <c r="X64" s="88">
        <f>'Request #15'!Y64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#15'!AA64,"OK","Alert,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#15'!V65,"OK","Send in Change Order")</f>
        <v>OK</v>
      </c>
      <c r="S65" s="85">
        <v>54</v>
      </c>
      <c r="T65" s="102" t="s">
        <v>90</v>
      </c>
      <c r="U65" s="218">
        <f>'Request #15'!U65</f>
        <v>0</v>
      </c>
      <c r="V65" s="87">
        <f>'Request #15'!V65</f>
        <v>0</v>
      </c>
      <c r="W65" s="104"/>
      <c r="X65" s="88">
        <f>'Request #15'!Y65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#15'!AA65,"OK","Alert,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#15'!V66,"OK","Send in Change Order")</f>
        <v>OK</v>
      </c>
      <c r="S66" s="85">
        <v>55</v>
      </c>
      <c r="T66" s="86"/>
      <c r="U66" s="218">
        <f>'Request #15'!U66</f>
        <v>0</v>
      </c>
      <c r="V66" s="87">
        <f>'Request #15'!V66</f>
        <v>0</v>
      </c>
      <c r="W66" s="88">
        <f>SUMIF(F7:F79,55,E7:E79)</f>
        <v>0</v>
      </c>
      <c r="X66" s="88">
        <f>'Request #15'!Y66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#15'!AA66,"OK","Alert,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#15'!V67,"OK","Send in Change Order")</f>
        <v>OK</v>
      </c>
      <c r="S67" s="85">
        <v>56</v>
      </c>
      <c r="T67" s="79"/>
      <c r="U67" s="218">
        <f>'Request #15'!U67</f>
        <v>0</v>
      </c>
      <c r="V67" s="87">
        <f>'Request #15'!V67</f>
        <v>0</v>
      </c>
      <c r="W67" s="88">
        <f>SUMIF(F7:F79,56,E7:E79)</f>
        <v>0</v>
      </c>
      <c r="X67" s="88">
        <f>'Request #15'!Y67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#15'!AA67,"OK","Alert,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#15'!V68,"OK","Send in Change Order")</f>
        <v>OK</v>
      </c>
      <c r="S68" s="316" t="s">
        <v>60</v>
      </c>
      <c r="T68" s="317"/>
      <c r="U68" s="224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#15'!AA68,"OK","Alert,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25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226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27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28" t="e">
        <f>V72/V68</f>
        <v>#DIV/0!</v>
      </c>
      <c r="V72" s="88">
        <f>V68-V74-V73</f>
        <v>0</v>
      </c>
      <c r="W72" s="87">
        <v>0</v>
      </c>
      <c r="X72" s="88">
        <f>'Request #15'!Y72</f>
        <v>0</v>
      </c>
      <c r="Y72" s="88">
        <f t="shared" ref="Y72:Y73" si="8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#15'!V73,"OK","Send in Change Order")</f>
        <v>OK</v>
      </c>
      <c r="S73" s="86" t="s">
        <v>95</v>
      </c>
      <c r="T73" s="114"/>
      <c r="U73" s="228" t="e">
        <f>V73/V68</f>
        <v>#DIV/0!</v>
      </c>
      <c r="V73" s="87">
        <f>'Request #15'!V73</f>
        <v>0</v>
      </c>
      <c r="W73" s="87">
        <v>0</v>
      </c>
      <c r="X73" s="88">
        <f>'Request #15'!Y73</f>
        <v>0</v>
      </c>
      <c r="Y73" s="88">
        <f t="shared" si="8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#15'!V74,"OK","Send in Change Order")</f>
        <v>OK</v>
      </c>
      <c r="S74" s="120" t="s">
        <v>96</v>
      </c>
      <c r="T74" s="121"/>
      <c r="U74" s="228" t="e">
        <f>V74/V68</f>
        <v>#DIV/0!</v>
      </c>
      <c r="V74" s="87">
        <f>'Request #15'!V74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221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30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30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31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221"/>
      <c r="V80" s="55"/>
      <c r="W80" s="55"/>
      <c r="X80" s="138"/>
      <c r="Y80" s="45" t="s">
        <v>108</v>
      </c>
      <c r="Z80" s="43"/>
      <c r="AA80" s="88">
        <f>'Request #15'!AA79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16</v>
      </c>
      <c r="V87" s="55"/>
      <c r="W87" s="55"/>
      <c r="X87" s="138"/>
      <c r="Y87" s="45" t="s">
        <v>108</v>
      </c>
      <c r="Z87" s="43"/>
      <c r="AA87" s="88">
        <f>'Request #15'!AA86</f>
        <v>0</v>
      </c>
      <c r="AB87" s="110"/>
    </row>
    <row r="88" spans="1:28" ht="30" customHeight="1" thickBot="1" x14ac:dyDescent="0.35">
      <c r="S88" s="55"/>
      <c r="T88" s="55"/>
      <c r="U88" s="221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221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221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221"/>
      <c r="V91" s="55"/>
      <c r="W91" s="55"/>
      <c r="X91" s="55"/>
    </row>
    <row r="92" spans="1:28" ht="30" customHeight="1" x14ac:dyDescent="0.3">
      <c r="S92" s="55"/>
      <c r="T92" s="55"/>
      <c r="U92" s="221"/>
      <c r="V92" s="55"/>
      <c r="W92" s="55"/>
      <c r="X92" s="55"/>
    </row>
    <row r="93" spans="1:28" ht="30" customHeight="1" x14ac:dyDescent="0.3">
      <c r="S93" s="55"/>
      <c r="T93" s="55"/>
      <c r="U93" s="221"/>
      <c r="V93" s="55"/>
      <c r="W93" s="55"/>
      <c r="X93" s="55"/>
    </row>
    <row r="94" spans="1:28" ht="30" customHeight="1" x14ac:dyDescent="0.3">
      <c r="S94" s="55"/>
      <c r="T94" s="55"/>
      <c r="U94" s="221"/>
      <c r="V94" s="55"/>
      <c r="W94" s="55"/>
      <c r="X94" s="55"/>
    </row>
    <row r="95" spans="1:28" ht="30" customHeight="1" x14ac:dyDescent="0.3">
      <c r="S95" s="55"/>
      <c r="T95" s="55"/>
      <c r="U95" s="221"/>
      <c r="V95" s="55"/>
      <c r="W95" s="55"/>
      <c r="X95" s="55"/>
    </row>
    <row r="96" spans="1:28" ht="30" customHeight="1" x14ac:dyDescent="0.3">
      <c r="S96" s="55"/>
      <c r="T96" s="55"/>
      <c r="U96" s="221"/>
      <c r="V96" s="55"/>
      <c r="W96" s="55"/>
      <c r="X96" s="55"/>
    </row>
    <row r="97" spans="15:24" ht="30" customHeight="1" x14ac:dyDescent="0.3">
      <c r="S97" s="55"/>
      <c r="T97" s="55"/>
      <c r="U97" s="221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pIJ7Oz4CceWZJkNQsM9DjTjygVJ9L2cJxv/ysOGwkrpnxWbynuD3W5KIH1z0fio7YMLBliGmyKMZJLstFojS/A==" saltValue="VfLnzKJ5BRWUAwXfIoEFzw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295" priority="10" operator="containsText" text="Change">
      <formula>NOT(ISERROR(SEARCH("Change",R1)))</formula>
    </cfRule>
  </conditionalFormatting>
  <conditionalFormatting sqref="R45:R48">
    <cfRule type="cellIs" dxfId="294" priority="7" operator="equal">
      <formula>"Send in Change Order"</formula>
    </cfRule>
  </conditionalFormatting>
  <conditionalFormatting sqref="W68">
    <cfRule type="cellIs" dxfId="293" priority="2" operator="notEqual">
      <formula>$E$82</formula>
    </cfRule>
    <cfRule type="cellIs" dxfId="292" priority="3" operator="greaterThan">
      <formula>$E$82</formula>
    </cfRule>
    <cfRule type="cellIs" dxfId="291" priority="4" operator="notEqual">
      <formula>$E$82</formula>
    </cfRule>
  </conditionalFormatting>
  <conditionalFormatting sqref="Z12:Z44">
    <cfRule type="cellIs" dxfId="290" priority="8" operator="lessThan">
      <formula>0</formula>
    </cfRule>
  </conditionalFormatting>
  <conditionalFormatting sqref="Z49:Z68">
    <cfRule type="cellIs" dxfId="289" priority="5" operator="lessThan">
      <formula>0</formula>
    </cfRule>
  </conditionalFormatting>
  <conditionalFormatting sqref="AA68">
    <cfRule type="cellIs" dxfId="288" priority="1" operator="notEqual">
      <formula>$O$82</formula>
    </cfRule>
  </conditionalFormatting>
  <conditionalFormatting sqref="AB1:AB1048576">
    <cfRule type="containsText" dxfId="287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2" manualBreakCount="12">
    <brk id="6" max="88" man="1"/>
    <brk id="10" max="1048575" man="1"/>
    <brk id="16" max="88" man="1"/>
    <brk id="18" max="1048575" man="1"/>
    <brk id="27" max="88" man="1"/>
    <brk id="29" max="1048575" man="1"/>
    <brk id="51" max="1048575" man="1"/>
    <brk id="52" max="1048575" man="1"/>
    <brk id="58" max="1048575" man="1"/>
    <brk id="101" max="1048575" man="1"/>
    <brk id="110" max="1048575" man="1"/>
    <brk id="111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G135"/>
  <sheetViews>
    <sheetView view="pageBreakPreview" topLeftCell="U61" zoomScaleNormal="100" zoomScaleSheetLayoutView="100" workbookViewId="0">
      <selection activeCell="AA68" sqref="AA68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664062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30.109375" style="50" customWidth="1"/>
    <col min="19" max="19" width="6.21875" style="39" customWidth="1"/>
    <col min="20" max="20" width="31.109375" style="39" customWidth="1"/>
    <col min="21" max="21" width="17.77734375" style="219" customWidth="1"/>
    <col min="22" max="27" width="18.88671875" style="39" customWidth="1"/>
    <col min="28" max="28" width="23.554687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220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17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220"/>
      <c r="V4" s="59"/>
      <c r="W4" s="55"/>
      <c r="X4" s="55"/>
      <c r="Y4" s="55"/>
      <c r="Z4" s="62" t="s">
        <v>11</v>
      </c>
      <c r="AA4" s="65">
        <f>'Project Info'!G13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220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221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22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23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 t="str">
        <f>Z3</f>
        <v>Request #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218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#16'!V12,"OK","Send in Change Order")</f>
        <v>OK</v>
      </c>
      <c r="S12" s="85">
        <v>1</v>
      </c>
      <c r="T12" s="86" t="str">
        <f>'Request #16'!T12</f>
        <v>Land/Site Grading &amp; Improv.</v>
      </c>
      <c r="U12" s="218">
        <f>'Request #16'!U12</f>
        <v>0</v>
      </c>
      <c r="V12" s="87">
        <f>'Request #16'!V12</f>
        <v>0</v>
      </c>
      <c r="W12" s="88">
        <f>SUMIF(F7:F79,1,E7:E79)</f>
        <v>0</v>
      </c>
      <c r="X12" s="88">
        <f>'Request #16'!Y12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#16'!AA12,"OK","Alert,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#16'!V13,"OK","Send in Change Order")</f>
        <v>OK</v>
      </c>
      <c r="S13" s="85">
        <v>2</v>
      </c>
      <c r="T13" s="86" t="str">
        <f>'Request #16'!T13</f>
        <v xml:space="preserve">General Contract </v>
      </c>
      <c r="U13" s="218">
        <f>'Request #16'!U13</f>
        <v>0</v>
      </c>
      <c r="V13" s="87">
        <f>'Request #16'!V13</f>
        <v>0</v>
      </c>
      <c r="W13" s="88">
        <f>SUMIF(F7:F79,2,E7:E79)</f>
        <v>0</v>
      </c>
      <c r="X13" s="88">
        <f>'Request #16'!Y13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#16'!AA13,"OK","Alert,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#16'!V14,"OK","Send in Change Order")</f>
        <v>OK</v>
      </c>
      <c r="S14" s="85">
        <v>3</v>
      </c>
      <c r="T14" s="86" t="str">
        <f>'Request #16'!T14</f>
        <v>Designer Contract</v>
      </c>
      <c r="U14" s="218">
        <f>'Request #16'!U14</f>
        <v>0</v>
      </c>
      <c r="V14" s="87">
        <f>'Request #16'!V14</f>
        <v>0</v>
      </c>
      <c r="W14" s="88">
        <f>SUMIF(F7:F79,3,E7:E79)</f>
        <v>0</v>
      </c>
      <c r="X14" s="88">
        <f>'Request #16'!Y14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#16'!AA14,"OK","Alert,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#16'!V15,"OK","Send in Change Order")</f>
        <v>OK</v>
      </c>
      <c r="S15" s="85">
        <v>4</v>
      </c>
      <c r="T15" s="86" t="str">
        <f>'Request #16'!T15</f>
        <v>Designer Reimbursables</v>
      </c>
      <c r="U15" s="218">
        <f>'Request #16'!U15</f>
        <v>0</v>
      </c>
      <c r="V15" s="87">
        <f>'Request #16'!V15</f>
        <v>0</v>
      </c>
      <c r="W15" s="88">
        <f>SUMIF(F7:F79,4,E7:E79)</f>
        <v>0</v>
      </c>
      <c r="X15" s="88">
        <f>'Request #16'!Y15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#16'!AA15,"OK","Alert,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#16'!V16,"OK","Send in Change Order")</f>
        <v>OK</v>
      </c>
      <c r="S16" s="85">
        <v>5</v>
      </c>
      <c r="T16" s="86" t="str">
        <f>'Request #16'!T16</f>
        <v>Other Contracts</v>
      </c>
      <c r="U16" s="218">
        <f>'Request #16'!U16</f>
        <v>0</v>
      </c>
      <c r="V16" s="87">
        <f>'Request #16'!V16</f>
        <v>0</v>
      </c>
      <c r="W16" s="88">
        <f>SUMIF(F7:F79,5,E7:E79)</f>
        <v>0</v>
      </c>
      <c r="X16" s="88">
        <f>'Request #16'!Y16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#16'!AA16,"OK","Alert,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#16'!V17,"OK","Send in Change Order")</f>
        <v>OK</v>
      </c>
      <c r="S17" s="85">
        <v>6</v>
      </c>
      <c r="T17" s="86" t="str">
        <f>'Request #16'!T17</f>
        <v>Other Contracts</v>
      </c>
      <c r="U17" s="218">
        <f>'Request #16'!U17</f>
        <v>0</v>
      </c>
      <c r="V17" s="87">
        <f>'Request #16'!V17</f>
        <v>0</v>
      </c>
      <c r="W17" s="88">
        <f>SUMIF(F7:F79,6,E7:E79)</f>
        <v>0</v>
      </c>
      <c r="X17" s="88">
        <f>'Request #16'!Y17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#16'!AA17,"OK","Alert,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#16'!V18,"OK","Send in Change Order")</f>
        <v>OK</v>
      </c>
      <c r="S18" s="85">
        <v>7</v>
      </c>
      <c r="T18" s="86" t="str">
        <f>'Request #16'!T18</f>
        <v>Other Contracts</v>
      </c>
      <c r="U18" s="218">
        <f>'Request #16'!U18</f>
        <v>0</v>
      </c>
      <c r="V18" s="87">
        <f>'Request #16'!V18</f>
        <v>0</v>
      </c>
      <c r="W18" s="88">
        <f>SUMIF(F7:F79,7,E7:E79)</f>
        <v>0</v>
      </c>
      <c r="X18" s="88">
        <f>'Request #16'!Y18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#16'!AA18,"OK","Alert,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#16'!V19,"OK","Send in Change Order")</f>
        <v>OK</v>
      </c>
      <c r="S19" s="85">
        <v>8</v>
      </c>
      <c r="T19" s="86" t="str">
        <f>'Request #16'!T19</f>
        <v>Other Contracts</v>
      </c>
      <c r="U19" s="218">
        <f>'Request #16'!U19</f>
        <v>0</v>
      </c>
      <c r="V19" s="87">
        <f>'Request #16'!V19</f>
        <v>0</v>
      </c>
      <c r="W19" s="88">
        <f>SUMIF(F7:F79,8,E7:E79)</f>
        <v>0</v>
      </c>
      <c r="X19" s="88">
        <f>'Request #16'!Y19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#16'!AA19,"OK","Alert,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#16'!V20,"OK","Send in Change Order")</f>
        <v>OK</v>
      </c>
      <c r="S20" s="85">
        <v>9</v>
      </c>
      <c r="T20" s="86" t="str">
        <f>'Request #16'!T20</f>
        <v>Other Contracts</v>
      </c>
      <c r="U20" s="218">
        <f>'Request #16'!U20</f>
        <v>0</v>
      </c>
      <c r="V20" s="87">
        <f>'Request #16'!V20</f>
        <v>0</v>
      </c>
      <c r="W20" s="88">
        <f>SUMIF(F7:F79,9,E7:E79)</f>
        <v>0</v>
      </c>
      <c r="X20" s="88">
        <f>'Request #16'!Y20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#16'!AA20,"OK","Alert,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#16'!V21,"OK","Send in Change Order")</f>
        <v>OK</v>
      </c>
      <c r="S21" s="85">
        <v>10</v>
      </c>
      <c r="T21" s="86" t="str">
        <f>'Request #16'!T21</f>
        <v>Other Contracts</v>
      </c>
      <c r="U21" s="218">
        <f>'Request #16'!U21</f>
        <v>0</v>
      </c>
      <c r="V21" s="87">
        <f>'Request #16'!V21</f>
        <v>0</v>
      </c>
      <c r="W21" s="88">
        <f>SUMIF(F7:F79,10,E7:E79)</f>
        <v>0</v>
      </c>
      <c r="X21" s="88">
        <f>'Request #16'!Y21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#16'!AA21,"OK","Alert,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#16'!V22,"OK","Send in Change Order")</f>
        <v>OK</v>
      </c>
      <c r="S22" s="85">
        <v>11</v>
      </c>
      <c r="T22" s="86" t="str">
        <f>'Request #16'!T22</f>
        <v>Other Contracts</v>
      </c>
      <c r="U22" s="218">
        <f>'Request #16'!U22</f>
        <v>0</v>
      </c>
      <c r="V22" s="87">
        <f>'Request #16'!V22</f>
        <v>0</v>
      </c>
      <c r="W22" s="88">
        <f>SUMIF(F7:F79,11,E7:E79)</f>
        <v>0</v>
      </c>
      <c r="X22" s="88">
        <f>'Request #16'!Y22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#16'!AA22,"OK","Alert,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#16'!V23,"OK","Send in Change Order")</f>
        <v>OK</v>
      </c>
      <c r="S23" s="85">
        <v>12</v>
      </c>
      <c r="T23" s="86" t="str">
        <f>'Request #16'!T23</f>
        <v>Other Contracts</v>
      </c>
      <c r="U23" s="218">
        <f>'Request #16'!U23</f>
        <v>0</v>
      </c>
      <c r="V23" s="87">
        <f>'Request #16'!V23</f>
        <v>0</v>
      </c>
      <c r="W23" s="88">
        <f>SUMIF(F7:F79,12,E7:E79)</f>
        <v>0</v>
      </c>
      <c r="X23" s="88">
        <f>'Request #16'!Y23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#16'!AA23,"OK","Alert,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#16'!V24,"OK","Send in Change Order")</f>
        <v>OK</v>
      </c>
      <c r="S24" s="85">
        <v>13</v>
      </c>
      <c r="T24" s="86" t="str">
        <f>'Request #16'!T24</f>
        <v>Other Contracts</v>
      </c>
      <c r="U24" s="218">
        <f>'Request #16'!U24</f>
        <v>0</v>
      </c>
      <c r="V24" s="87">
        <f>'Request #16'!V24</f>
        <v>0</v>
      </c>
      <c r="W24" s="88">
        <f>SUMIF(F7:F79,13,E7:E79)</f>
        <v>0</v>
      </c>
      <c r="X24" s="88">
        <f>'Request #16'!Y24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#16'!AA24,"OK","Alert,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#16'!V25,"OK","Send in Change Order")</f>
        <v>OK</v>
      </c>
      <c r="S25" s="85">
        <v>14</v>
      </c>
      <c r="T25" s="86" t="str">
        <f>'Request #16'!T25</f>
        <v>Other Contracts</v>
      </c>
      <c r="U25" s="218">
        <f>'Request #16'!U25</f>
        <v>0</v>
      </c>
      <c r="V25" s="87">
        <f>'Request #16'!V25</f>
        <v>0</v>
      </c>
      <c r="W25" s="88">
        <f>SUMIF(F7:F79,14,E7:E79)</f>
        <v>0</v>
      </c>
      <c r="X25" s="88">
        <f>'Request #16'!Y25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#16'!AA25,"OK","Alert,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#16'!V26,"OK","Send in Change Order")</f>
        <v>OK</v>
      </c>
      <c r="S26" s="85">
        <v>15</v>
      </c>
      <c r="T26" s="86" t="str">
        <f>'Request #16'!T26</f>
        <v>Other Contracts</v>
      </c>
      <c r="U26" s="218">
        <f>'Request #16'!U26</f>
        <v>0</v>
      </c>
      <c r="V26" s="87">
        <f>'Request #16'!V26</f>
        <v>0</v>
      </c>
      <c r="W26" s="88">
        <f>SUMIF(F7:F79,15,E7:E79)</f>
        <v>0</v>
      </c>
      <c r="X26" s="88">
        <f>'Request #16'!Y26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#16'!AA26,"OK","Alert,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#16'!V27,"OK","Send in Change Order")</f>
        <v>OK</v>
      </c>
      <c r="S27" s="85">
        <v>16</v>
      </c>
      <c r="T27" s="86" t="str">
        <f>'Request #16'!T27</f>
        <v>Other Contracts</v>
      </c>
      <c r="U27" s="218">
        <f>'Request #16'!U27</f>
        <v>0</v>
      </c>
      <c r="V27" s="87">
        <f>'Request #16'!V27</f>
        <v>0</v>
      </c>
      <c r="W27" s="88">
        <f>SUMIF(F7:F79,16,E7:E79)</f>
        <v>0</v>
      </c>
      <c r="X27" s="88">
        <f>'Request #16'!Y27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#16'!AA27,"OK","Alert, Explain")</f>
        <v>OK</v>
      </c>
      <c r="AE27" s="92"/>
      <c r="AF27" s="39" t="s">
        <v>76</v>
      </c>
      <c r="AG27" s="273">
        <f>X68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#16'!V28,"OK","Send in Change Order")</f>
        <v>OK</v>
      </c>
      <c r="S28" s="85">
        <v>17</v>
      </c>
      <c r="T28" s="86" t="str">
        <f>'Request #16'!T28</f>
        <v>Other Contracts</v>
      </c>
      <c r="U28" s="218">
        <f>'Request #16'!U28</f>
        <v>0</v>
      </c>
      <c r="V28" s="87">
        <f>'Request #16'!V28</f>
        <v>0</v>
      </c>
      <c r="W28" s="88">
        <f>SUMIF(F7:F79,17,E7:E79)</f>
        <v>0</v>
      </c>
      <c r="X28" s="88">
        <f>'Request #16'!Y28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#16'!AA28,"OK","Alert,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#16'!V29,"OK","Send in Change Order")</f>
        <v>OK</v>
      </c>
      <c r="S29" s="85">
        <v>18</v>
      </c>
      <c r="T29" s="86" t="str">
        <f>'Request #16'!T29</f>
        <v>Other Contracts</v>
      </c>
      <c r="U29" s="218">
        <f>'Request #16'!U29</f>
        <v>0</v>
      </c>
      <c r="V29" s="87">
        <f>'Request #16'!V29</f>
        <v>0</v>
      </c>
      <c r="W29" s="88">
        <f>SUMIF(F7:F79,18,E7:E79)</f>
        <v>0</v>
      </c>
      <c r="X29" s="88">
        <f>'Request #16'!Y29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#16'!AA29,"OK","Alert,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#16'!V30,"OK","Send in Change Order")</f>
        <v>OK</v>
      </c>
      <c r="S30" s="85">
        <v>19</v>
      </c>
      <c r="T30" s="86" t="str">
        <f>'Request #16'!T30</f>
        <v>Other Contracts</v>
      </c>
      <c r="U30" s="218">
        <f>'Request #16'!U30</f>
        <v>0</v>
      </c>
      <c r="V30" s="87">
        <f>'Request #16'!V30</f>
        <v>0</v>
      </c>
      <c r="W30" s="88">
        <f>SUMIF(F7:F79,19,E7:E79)</f>
        <v>0</v>
      </c>
      <c r="X30" s="88">
        <f>'Request #16'!Y30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#16'!AA30,"OK","Alert,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#16'!V31,"OK","Send in Change Order")</f>
        <v>OK</v>
      </c>
      <c r="S31" s="85">
        <v>20</v>
      </c>
      <c r="T31" s="86" t="str">
        <f>'Request #16'!T31</f>
        <v>Other Contracts</v>
      </c>
      <c r="U31" s="218">
        <f>'Request #16'!U31</f>
        <v>0</v>
      </c>
      <c r="V31" s="87">
        <f>'Request #16'!V31</f>
        <v>0</v>
      </c>
      <c r="W31" s="88">
        <f>SUMIF(F7:F79,20,E7:E79)</f>
        <v>0</v>
      </c>
      <c r="X31" s="88">
        <f>'Request #16'!Y31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#16'!AA31,"OK","Alert,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#16'!V32,"OK","Send in Change Order")</f>
        <v>OK</v>
      </c>
      <c r="S32" s="85">
        <v>21</v>
      </c>
      <c r="T32" s="86" t="str">
        <f>'Request #16'!T32</f>
        <v>Other Contracts</v>
      </c>
      <c r="U32" s="218">
        <f>'Request #16'!U32</f>
        <v>0</v>
      </c>
      <c r="V32" s="87">
        <f>'Request #16'!V32</f>
        <v>0</v>
      </c>
      <c r="W32" s="88">
        <f>SUMIF(F7:F79,21,E7:E79)</f>
        <v>0</v>
      </c>
      <c r="X32" s="88">
        <f>'Request #16'!Y32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#16'!AA32,"OK","Alert,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#16'!V33,"OK","Send in Change Order")</f>
        <v>OK</v>
      </c>
      <c r="S33" s="85">
        <v>22</v>
      </c>
      <c r="T33" s="86" t="str">
        <f>'Request #16'!T33</f>
        <v>Other Contracts</v>
      </c>
      <c r="U33" s="218">
        <f>'Request #16'!U33</f>
        <v>0</v>
      </c>
      <c r="V33" s="87">
        <f>'Request #16'!V33</f>
        <v>0</v>
      </c>
      <c r="W33" s="88">
        <f>SUMIF(F7:F79,22,E7:E79)</f>
        <v>0</v>
      </c>
      <c r="X33" s="88">
        <f>'Request #16'!Y33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#16'!AA33,"OK","Alert,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#16'!V34,"OK","Send in Change Order")</f>
        <v>OK</v>
      </c>
      <c r="S34" s="85">
        <v>23</v>
      </c>
      <c r="T34" s="86" t="str">
        <f>'Request #16'!T34</f>
        <v>Other Contracts</v>
      </c>
      <c r="U34" s="218">
        <f>'Request #16'!U34</f>
        <v>0</v>
      </c>
      <c r="V34" s="87">
        <f>'Request #16'!V34</f>
        <v>0</v>
      </c>
      <c r="W34" s="88">
        <f>SUMIF(F7:F79,23,E7:E79)</f>
        <v>0</v>
      </c>
      <c r="X34" s="88">
        <f>'Request #16'!Y34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#16'!AA34,"OK","Alert,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#16'!V35,"OK","Send in Change Order")</f>
        <v>OK</v>
      </c>
      <c r="S35" s="85">
        <v>24</v>
      </c>
      <c r="T35" s="86" t="str">
        <f>'Request #16'!T35</f>
        <v>Other Contracts</v>
      </c>
      <c r="U35" s="218">
        <f>'Request #16'!U35</f>
        <v>0</v>
      </c>
      <c r="V35" s="87">
        <f>'Request #16'!V35</f>
        <v>0</v>
      </c>
      <c r="W35" s="88">
        <f>SUMIF(F7:F79,24,E7:E79)</f>
        <v>0</v>
      </c>
      <c r="X35" s="88">
        <f>'Request #16'!Y35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#16'!AA35,"OK","Alert,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#16'!V36,"OK","Send in Change Order")</f>
        <v>OK</v>
      </c>
      <c r="S36" s="85">
        <v>25</v>
      </c>
      <c r="T36" s="86" t="str">
        <f>'Request #16'!T36</f>
        <v>Other Contracts</v>
      </c>
      <c r="U36" s="218">
        <f>'Request #16'!U36</f>
        <v>0</v>
      </c>
      <c r="V36" s="87">
        <f>'Request #16'!V36</f>
        <v>0</v>
      </c>
      <c r="W36" s="88">
        <f>SUMIF(F7:F79,25,E7:E79)</f>
        <v>0</v>
      </c>
      <c r="X36" s="88">
        <f>'Request #16'!Y36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#16'!AA36,"OK","Alert,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#16'!V37,"OK","Send in Change Order")</f>
        <v>OK</v>
      </c>
      <c r="S37" s="85">
        <v>26</v>
      </c>
      <c r="T37" s="86" t="str">
        <f>'Request #16'!T37</f>
        <v>Other Fees</v>
      </c>
      <c r="U37" s="218">
        <f>'Request #16'!U37</f>
        <v>0</v>
      </c>
      <c r="V37" s="87">
        <f>'Request #16'!V37</f>
        <v>0</v>
      </c>
      <c r="W37" s="88">
        <f>SUMIF(F7:F79,26,E7:E79)</f>
        <v>0</v>
      </c>
      <c r="X37" s="88">
        <f>'Request #16'!Y37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#16'!AA37,"OK","Alert,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#16'!V38,"OK","Send in Change Order")</f>
        <v>OK</v>
      </c>
      <c r="S38" s="85">
        <v>27</v>
      </c>
      <c r="T38" s="86" t="str">
        <f>'Request #16'!T38</f>
        <v>Other Fees</v>
      </c>
      <c r="U38" s="218">
        <f>'Request #16'!U38</f>
        <v>0</v>
      </c>
      <c r="V38" s="87">
        <f>'Request #16'!V38</f>
        <v>0</v>
      </c>
      <c r="W38" s="88">
        <f>SUMIF(F7:F79,27,E7:E79)</f>
        <v>0</v>
      </c>
      <c r="X38" s="88">
        <f>'Request #16'!Y38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#16'!AA38,"OK","Alert,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#16'!V39,"OK","Send in Change Order")</f>
        <v>OK</v>
      </c>
      <c r="S39" s="85">
        <v>28</v>
      </c>
      <c r="T39" s="86" t="str">
        <f>'Request #16'!T39</f>
        <v>Other Fees</v>
      </c>
      <c r="U39" s="218">
        <f>'Request #16'!U39</f>
        <v>0</v>
      </c>
      <c r="V39" s="87">
        <f>'Request #16'!V39</f>
        <v>0</v>
      </c>
      <c r="W39" s="88">
        <f>SUMIF(F7:F79,28,E7:E79)</f>
        <v>0</v>
      </c>
      <c r="X39" s="88">
        <f>'Request #16'!Y39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#16'!AA39,"OK","Alert,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#16'!V40,"OK","Send in Change Order")</f>
        <v>OK</v>
      </c>
      <c r="S40" s="85">
        <v>29</v>
      </c>
      <c r="T40" s="86" t="str">
        <f>'Request #16'!T40</f>
        <v>Other Fees</v>
      </c>
      <c r="U40" s="218">
        <f>'Request #16'!U40</f>
        <v>0</v>
      </c>
      <c r="V40" s="87">
        <f>'Request #16'!V40</f>
        <v>0</v>
      </c>
      <c r="W40" s="88">
        <f>SUMIF(F7:F79,29,E7:E79)</f>
        <v>0</v>
      </c>
      <c r="X40" s="88">
        <f>'Request #16'!Y40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#16'!AA40,"OK","Alert,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#16'!V41,"OK","Send in Change Order")</f>
        <v>OK</v>
      </c>
      <c r="S41" s="85">
        <v>30</v>
      </c>
      <c r="T41" s="86" t="str">
        <f>'Request #16'!T41</f>
        <v>Other Fees</v>
      </c>
      <c r="U41" s="218">
        <f>'Request #16'!U41</f>
        <v>0</v>
      </c>
      <c r="V41" s="87">
        <f>'Request #16'!V41</f>
        <v>0</v>
      </c>
      <c r="W41" s="88">
        <f>SUMIF(F7:F79,30,E7:E79)</f>
        <v>0</v>
      </c>
      <c r="X41" s="88">
        <f>'Request #16'!Y41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#16'!AA41,"OK","Alert,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#16'!V42,"OK","Send in Change Order")</f>
        <v>OK</v>
      </c>
      <c r="S42" s="85">
        <v>31</v>
      </c>
      <c r="T42" s="86" t="str">
        <f>'Request #16'!T42</f>
        <v>Other Fees</v>
      </c>
      <c r="U42" s="218">
        <f>'Request #16'!U42</f>
        <v>0</v>
      </c>
      <c r="V42" s="87">
        <f>'Request #16'!V42</f>
        <v>0</v>
      </c>
      <c r="W42" s="88">
        <f>SUMIF(F7:F79,31,E7:E79)</f>
        <v>0</v>
      </c>
      <c r="X42" s="88">
        <f>'Request #16'!Y42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#16'!AA42,"OK","Alert,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#16'!V43,"OK","Send in Change Order")</f>
        <v>OK</v>
      </c>
      <c r="S43" s="85">
        <v>32</v>
      </c>
      <c r="T43" s="86" t="str">
        <f>'Request #16'!T43</f>
        <v>Other Fees</v>
      </c>
      <c r="U43" s="218">
        <f>'Request #16'!U43</f>
        <v>0</v>
      </c>
      <c r="V43" s="87">
        <f>'Request #16'!V43</f>
        <v>0</v>
      </c>
      <c r="W43" s="88">
        <f>SUMIF(F7:F79,32,E7:E79)</f>
        <v>0</v>
      </c>
      <c r="X43" s="88">
        <f>'Request #16'!Y43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#16'!AA43,"OK","Alert,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#16'!V44,"OK","Send in Change Order")</f>
        <v>OK</v>
      </c>
      <c r="S44" s="85">
        <v>33</v>
      </c>
      <c r="T44" s="86" t="str">
        <f>'Request #16'!T44</f>
        <v>Other Fees</v>
      </c>
      <c r="U44" s="218">
        <f>'Request #16'!U44</f>
        <v>0</v>
      </c>
      <c r="V44" s="87">
        <f>'Request #16'!V44</f>
        <v>0</v>
      </c>
      <c r="W44" s="88">
        <f>SUMIF(F7:F79,33,E7:E79)</f>
        <v>0</v>
      </c>
      <c r="X44" s="88">
        <f>'Request #16'!Y44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#16'!AA44,"OK","Alert,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#16'!V49,"OK","Send in Change Order")</f>
        <v>OK</v>
      </c>
      <c r="S49" s="85">
        <v>38</v>
      </c>
      <c r="T49" s="86" t="str">
        <f>'Request #16'!T49</f>
        <v>Other Fees</v>
      </c>
      <c r="U49" s="218">
        <f>'Request #16'!U49</f>
        <v>0</v>
      </c>
      <c r="V49" s="87">
        <f>'Request #16'!V49</f>
        <v>0</v>
      </c>
      <c r="W49" s="88">
        <f>SUMIF(F7:F79,38,E7:E79)</f>
        <v>0</v>
      </c>
      <c r="X49" s="88">
        <f>'Request #16'!Y49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#16'!AA49,"OK","Alert,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#16'!V50,"OK","Send in Change Order")</f>
        <v>OK</v>
      </c>
      <c r="S50" s="85">
        <v>39</v>
      </c>
      <c r="T50" s="86" t="str">
        <f>'Request #16'!T50</f>
        <v>Other Fees</v>
      </c>
      <c r="U50" s="218">
        <f>'Request #16'!U50</f>
        <v>0</v>
      </c>
      <c r="V50" s="87">
        <f>'Request #16'!V50</f>
        <v>0</v>
      </c>
      <c r="W50" s="88">
        <f>SUMIF(F7:F79,39,E7:E79)</f>
        <v>0</v>
      </c>
      <c r="X50" s="88">
        <f>'Request #16'!Y50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#16'!AA50,"OK","Alert,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#16'!V51,"OK","Send in Change Order")</f>
        <v>OK</v>
      </c>
      <c r="S51" s="85">
        <v>40</v>
      </c>
      <c r="T51" s="86" t="str">
        <f>'Request #16'!T51</f>
        <v>Other Fees</v>
      </c>
      <c r="U51" s="218">
        <f>'Request #16'!U51</f>
        <v>0</v>
      </c>
      <c r="V51" s="87">
        <f>'Request #16'!V51</f>
        <v>0</v>
      </c>
      <c r="W51" s="88">
        <f>SUMIF(F7:F79,40,E7:E79)</f>
        <v>0</v>
      </c>
      <c r="X51" s="88">
        <f>'Request #16'!Y51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#16'!AA51,"OK","Alert,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#16'!V52,"OK","Send in Change Order")</f>
        <v>OK</v>
      </c>
      <c r="S52" s="85">
        <v>41</v>
      </c>
      <c r="T52" s="86" t="str">
        <f>'Request #16'!T52</f>
        <v>Other Fees</v>
      </c>
      <c r="U52" s="218">
        <f>'Request #16'!U52</f>
        <v>0</v>
      </c>
      <c r="V52" s="87">
        <f>'Request #16'!V52</f>
        <v>0</v>
      </c>
      <c r="W52" s="88">
        <f>SUMIF(F7:F79,41,E7:E79)</f>
        <v>0</v>
      </c>
      <c r="X52" s="88">
        <f>'Request #16'!Y52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#16'!AA52,"OK","Alert,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#16'!V53,"OK","Send in Change Order")</f>
        <v>OK</v>
      </c>
      <c r="S53" s="85">
        <v>42</v>
      </c>
      <c r="T53" s="86" t="str">
        <f>'Request #16'!T53</f>
        <v>Other Fees</v>
      </c>
      <c r="U53" s="218">
        <f>'Request #16'!U53</f>
        <v>0</v>
      </c>
      <c r="V53" s="87">
        <f>'Request #16'!V53</f>
        <v>0</v>
      </c>
      <c r="W53" s="88">
        <f>SUMIF(F7:F79,42,E7:E79)</f>
        <v>0</v>
      </c>
      <c r="X53" s="88">
        <f>'Request #16'!Y53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#16'!AA53,"OK","Alert,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#16'!V54,"OK","Send in Change Order")</f>
        <v>OK</v>
      </c>
      <c r="S54" s="85">
        <v>43</v>
      </c>
      <c r="T54" s="86" t="str">
        <f>'Request #16'!T54</f>
        <v>Other Fees</v>
      </c>
      <c r="U54" s="218">
        <f>'Request #16'!U54</f>
        <v>0</v>
      </c>
      <c r="V54" s="87">
        <f>'Request #16'!V54</f>
        <v>0</v>
      </c>
      <c r="W54" s="88">
        <f>SUMIF(F7:F79,43,E7:E79)</f>
        <v>0</v>
      </c>
      <c r="X54" s="88">
        <f>'Request #16'!Y54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#16'!AA54,"OK","Alert,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#16'!V55,"OK","Send in Change Order")</f>
        <v>OK</v>
      </c>
      <c r="S55" s="85">
        <v>44</v>
      </c>
      <c r="T55" s="86" t="str">
        <f>'Request #16'!T55</f>
        <v>Other Fees</v>
      </c>
      <c r="U55" s="218">
        <f>'Request #16'!U55</f>
        <v>0</v>
      </c>
      <c r="V55" s="87">
        <f>'Request #16'!V55</f>
        <v>0</v>
      </c>
      <c r="W55" s="88">
        <f>SUMIF(F7:F79,44,E7:E79)</f>
        <v>0</v>
      </c>
      <c r="X55" s="88">
        <f>'Request #16'!Y55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#16'!AA55,"OK","Alert,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#16'!V56,"OK","Send in Change Order")</f>
        <v>OK</v>
      </c>
      <c r="S56" s="85">
        <v>45</v>
      </c>
      <c r="T56" s="86" t="str">
        <f>'Request #16'!T56</f>
        <v>Other Fees</v>
      </c>
      <c r="U56" s="218">
        <f>'Request #16'!U56</f>
        <v>0</v>
      </c>
      <c r="V56" s="87">
        <f>'Request #16'!V56</f>
        <v>0</v>
      </c>
      <c r="W56" s="88">
        <f>SUMIF(F7:F79,45,E7:E79)</f>
        <v>0</v>
      </c>
      <c r="X56" s="88">
        <f>'Request #16'!Y56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#16'!AA56,"OK","Alert,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#16'!V57,"OK","Send in Change Order")</f>
        <v>OK</v>
      </c>
      <c r="S57" s="85">
        <v>46</v>
      </c>
      <c r="T57" s="86" t="str">
        <f>'Request #16'!T57</f>
        <v>Other Fees</v>
      </c>
      <c r="U57" s="218">
        <f>'Request #16'!U57</f>
        <v>0</v>
      </c>
      <c r="V57" s="87">
        <f>'Request #16'!V57</f>
        <v>0</v>
      </c>
      <c r="W57" s="88">
        <f>SUMIF(F7:F79,46,E7:E79)</f>
        <v>0</v>
      </c>
      <c r="X57" s="88">
        <f>'Request #16'!Y57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#16'!AA57,"OK","Alert,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#16'!V58,"OK","Send in Change Order")</f>
        <v>OK</v>
      </c>
      <c r="S58" s="85">
        <v>47</v>
      </c>
      <c r="T58" s="86" t="str">
        <f>'Request #16'!T58</f>
        <v>Other Fees</v>
      </c>
      <c r="U58" s="218">
        <f>'Request #16'!U58</f>
        <v>0</v>
      </c>
      <c r="V58" s="87">
        <f>'Request #16'!V58</f>
        <v>0</v>
      </c>
      <c r="W58" s="88">
        <f>SUMIF(F7:F79,47,E7:E79)</f>
        <v>0</v>
      </c>
      <c r="X58" s="88">
        <f>'Request #16'!Y58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#16'!AA58,"OK","Alert,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#16'!V59,"OK","Send in Change Order")</f>
        <v>OK</v>
      </c>
      <c r="S59" s="85">
        <v>48</v>
      </c>
      <c r="T59" s="86" t="str">
        <f>'Request #16'!T59</f>
        <v>Other Fees</v>
      </c>
      <c r="U59" s="218">
        <f>'Request #16'!U59</f>
        <v>0</v>
      </c>
      <c r="V59" s="87">
        <f>'Request #16'!V59</f>
        <v>0</v>
      </c>
      <c r="W59" s="88">
        <f>SUMIF(F7:F79,48,E7:E79)</f>
        <v>0</v>
      </c>
      <c r="X59" s="88">
        <f>'Request #16'!Y59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#16'!AA59,"OK","Alert,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#16'!V60,"OK","Send in Change Order")</f>
        <v>OK</v>
      </c>
      <c r="S60" s="85">
        <v>49</v>
      </c>
      <c r="T60" s="86" t="str">
        <f>'Request #16'!T60</f>
        <v>Other Fees</v>
      </c>
      <c r="U60" s="218">
        <f>'Request #16'!U60</f>
        <v>0</v>
      </c>
      <c r="V60" s="87">
        <f>'Request #16'!V60</f>
        <v>0</v>
      </c>
      <c r="W60" s="88">
        <f>SUMIF(F7:F79,49,E7:E79)</f>
        <v>0</v>
      </c>
      <c r="X60" s="88">
        <f>'Request #16'!Y60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#16'!AA60,"OK","Alert,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#16'!V61,"OK","Send in Change Order")</f>
        <v>OK</v>
      </c>
      <c r="S61" s="85">
        <v>50</v>
      </c>
      <c r="T61" s="86" t="str">
        <f>'Request #16'!T61</f>
        <v>Other Fees</v>
      </c>
      <c r="U61" s="218">
        <f>'Request #16'!U61</f>
        <v>0</v>
      </c>
      <c r="V61" s="87">
        <f>'Request #16'!V61</f>
        <v>0</v>
      </c>
      <c r="W61" s="88">
        <f>SUMIF(F7:F79,50,E7:E79)</f>
        <v>0</v>
      </c>
      <c r="X61" s="88">
        <f>'Request #16'!Y61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#16'!AA61,"OK","Alert,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#16'!V62,"OK","Send in Change Order")</f>
        <v>OK</v>
      </c>
      <c r="S62" s="85">
        <v>51</v>
      </c>
      <c r="T62" s="86" t="str">
        <f>'Request #16'!T62</f>
        <v>Other Fees</v>
      </c>
      <c r="U62" s="218">
        <f>'Request #16'!U62</f>
        <v>0</v>
      </c>
      <c r="V62" s="87">
        <f>'Request #16'!V62</f>
        <v>0</v>
      </c>
      <c r="W62" s="88">
        <f>SUMIF(F7:F79,51,E7:E79)</f>
        <v>0</v>
      </c>
      <c r="X62" s="88">
        <f>'Request #16'!Y62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#16'!AA62,"OK","Alert,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#16'!V63,"OK","Send in Change Order")</f>
        <v>OK</v>
      </c>
      <c r="S63" s="85">
        <v>52</v>
      </c>
      <c r="T63" s="86" t="str">
        <f>'Request #16'!T63</f>
        <v>Worked Performed by Owner</v>
      </c>
      <c r="U63" s="218">
        <f>'Request #16'!U63</f>
        <v>0</v>
      </c>
      <c r="V63" s="87">
        <f>'Request #16'!V63</f>
        <v>0</v>
      </c>
      <c r="W63" s="88">
        <f>SUMIF(F7:F79,52,E7:E79)</f>
        <v>0</v>
      </c>
      <c r="X63" s="88">
        <f>'Request #16'!Y63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#16'!AA63,"OK","Alert,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#16'!V64,"OK","Send in Change Order")</f>
        <v>OK</v>
      </c>
      <c r="S64" s="85">
        <v>53</v>
      </c>
      <c r="T64" s="86" t="str">
        <f>'Request #16'!T64</f>
        <v>Equipment (Major)</v>
      </c>
      <c r="U64" s="218">
        <f>'Request #16'!U64</f>
        <v>0</v>
      </c>
      <c r="V64" s="87">
        <f>'Request #16'!V64</f>
        <v>0</v>
      </c>
      <c r="W64" s="88">
        <f>SUMIF(F7:F79,53,E7:E79)</f>
        <v>0</v>
      </c>
      <c r="X64" s="88">
        <f>'Request #16'!Y64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#16'!AA64,"OK","Alert,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#16'!V65,"OK","Send in Change Order")</f>
        <v>OK</v>
      </c>
      <c r="S65" s="85">
        <v>54</v>
      </c>
      <c r="T65" s="102" t="s">
        <v>90</v>
      </c>
      <c r="U65" s="218">
        <f>'Request #16'!U65</f>
        <v>0</v>
      </c>
      <c r="V65" s="87">
        <f>'Request #16'!V65</f>
        <v>0</v>
      </c>
      <c r="W65" s="104"/>
      <c r="X65" s="88">
        <f>'Request #16'!Y65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#16'!AA65,"OK","Alert,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#16'!V66,"OK","Send in Change Order")</f>
        <v>OK</v>
      </c>
      <c r="S66" s="85">
        <v>55</v>
      </c>
      <c r="T66" s="86"/>
      <c r="U66" s="218">
        <f>'Request #16'!U66</f>
        <v>0</v>
      </c>
      <c r="V66" s="87">
        <f>'Request #16'!V66</f>
        <v>0</v>
      </c>
      <c r="W66" s="88">
        <f>SUMIF(F7:F79,55,E7:E79)</f>
        <v>0</v>
      </c>
      <c r="X66" s="88">
        <f>'Request #16'!Y66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#16'!AA66,"OK","Alert,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#16'!V67,"OK","Send in Change Order")</f>
        <v>OK</v>
      </c>
      <c r="S67" s="85">
        <v>56</v>
      </c>
      <c r="T67" s="79"/>
      <c r="U67" s="218">
        <f>'Request #16'!U67</f>
        <v>0</v>
      </c>
      <c r="V67" s="87">
        <f>'Request #16'!V67</f>
        <v>0</v>
      </c>
      <c r="W67" s="88">
        <f>SUMIF(F7:F79,56,E7:E79)</f>
        <v>0</v>
      </c>
      <c r="X67" s="88">
        <f>'Request #16'!Y67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#16'!AA67,"OK","Alert,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#16'!V68,"OK","Send in Change Order")</f>
        <v>OK</v>
      </c>
      <c r="S68" s="316" t="s">
        <v>60</v>
      </c>
      <c r="T68" s="317"/>
      <c r="U68" s="224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#16'!AA68,"OK","Alert,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25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226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27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28" t="e">
        <f>V72/V68</f>
        <v>#DIV/0!</v>
      </c>
      <c r="V72" s="88">
        <f>V68-V74-V73</f>
        <v>0</v>
      </c>
      <c r="W72" s="87">
        <v>0</v>
      </c>
      <c r="X72" s="88">
        <f>'Request #16'!Y72</f>
        <v>0</v>
      </c>
      <c r="Y72" s="88">
        <f t="shared" ref="Y72:Y73" si="8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#16'!V73,"OK","Send in Change Order")</f>
        <v>OK</v>
      </c>
      <c r="S73" s="86" t="s">
        <v>95</v>
      </c>
      <c r="T73" s="114"/>
      <c r="U73" s="228" t="e">
        <f>V73/V68</f>
        <v>#DIV/0!</v>
      </c>
      <c r="V73" s="87">
        <f>'Request #16'!V73</f>
        <v>0</v>
      </c>
      <c r="W73" s="87">
        <v>0</v>
      </c>
      <c r="X73" s="88">
        <f>'Request #16'!Y73</f>
        <v>0</v>
      </c>
      <c r="Y73" s="88">
        <f t="shared" si="8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#16'!V74,"OK","Send in Change Order")</f>
        <v>OK</v>
      </c>
      <c r="S74" s="120" t="s">
        <v>96</v>
      </c>
      <c r="T74" s="121"/>
      <c r="U74" s="228" t="e">
        <f>V74/V68</f>
        <v>#DIV/0!</v>
      </c>
      <c r="V74" s="87">
        <f>'Request #16'!V74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221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30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18"/>
      <c r="U78" s="230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31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221"/>
      <c r="V80" s="55"/>
      <c r="W80" s="55"/>
      <c r="X80" s="138"/>
      <c r="Y80" s="45" t="s">
        <v>108</v>
      </c>
      <c r="Z80" s="43"/>
      <c r="AA80" s="88">
        <f>'Request #16'!AA79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17</v>
      </c>
      <c r="V87" s="55"/>
      <c r="W87" s="55"/>
      <c r="X87" s="138"/>
      <c r="Y87" s="45" t="s">
        <v>108</v>
      </c>
      <c r="Z87" s="43"/>
      <c r="AA87" s="88">
        <f>'Request #16'!AA86</f>
        <v>0</v>
      </c>
      <c r="AB87" s="110"/>
    </row>
    <row r="88" spans="1:28" ht="30" customHeight="1" thickBot="1" x14ac:dyDescent="0.35">
      <c r="S88" s="55"/>
      <c r="T88" s="55"/>
      <c r="U88" s="221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221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221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221"/>
      <c r="V91" s="55"/>
      <c r="W91" s="55"/>
      <c r="X91" s="55"/>
    </row>
    <row r="92" spans="1:28" ht="30" customHeight="1" x14ac:dyDescent="0.3">
      <c r="S92" s="55"/>
      <c r="T92" s="55"/>
      <c r="U92" s="221"/>
      <c r="V92" s="55"/>
      <c r="W92" s="55"/>
      <c r="X92" s="55"/>
    </row>
    <row r="93" spans="1:28" ht="30" customHeight="1" x14ac:dyDescent="0.3">
      <c r="S93" s="55"/>
      <c r="T93" s="55"/>
      <c r="U93" s="221"/>
      <c r="V93" s="55"/>
      <c r="W93" s="55"/>
      <c r="X93" s="55"/>
    </row>
    <row r="94" spans="1:28" ht="30" customHeight="1" x14ac:dyDescent="0.3">
      <c r="S94" s="55"/>
      <c r="T94" s="55"/>
      <c r="U94" s="221"/>
      <c r="V94" s="55"/>
      <c r="W94" s="55"/>
      <c r="X94" s="55"/>
    </row>
    <row r="95" spans="1:28" ht="30" customHeight="1" x14ac:dyDescent="0.3">
      <c r="S95" s="55"/>
      <c r="T95" s="55"/>
      <c r="U95" s="221"/>
      <c r="V95" s="55"/>
      <c r="W95" s="55"/>
      <c r="X95" s="55"/>
    </row>
    <row r="96" spans="1:28" ht="30" customHeight="1" x14ac:dyDescent="0.3">
      <c r="S96" s="55"/>
      <c r="T96" s="55"/>
      <c r="U96" s="221"/>
      <c r="V96" s="55"/>
      <c r="W96" s="55"/>
      <c r="X96" s="55"/>
    </row>
    <row r="97" spans="15:24" ht="30" customHeight="1" x14ac:dyDescent="0.3">
      <c r="S97" s="55"/>
      <c r="T97" s="55"/>
      <c r="U97" s="221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286" priority="10" operator="containsText" text="Change">
      <formula>NOT(ISERROR(SEARCH("Change",R1)))</formula>
    </cfRule>
  </conditionalFormatting>
  <conditionalFormatting sqref="R45:R48">
    <cfRule type="cellIs" dxfId="285" priority="7" operator="equal">
      <formula>"Send in Change Order"</formula>
    </cfRule>
  </conditionalFormatting>
  <conditionalFormatting sqref="W67">
    <cfRule type="cellIs" dxfId="284" priority="2" operator="notEqual">
      <formula>$D$82</formula>
    </cfRule>
    <cfRule type="cellIs" dxfId="283" priority="3" operator="greaterThan">
      <formula>$D$82</formula>
    </cfRule>
    <cfRule type="cellIs" dxfId="282" priority="4" operator="notEqual">
      <formula>$D$82</formula>
    </cfRule>
  </conditionalFormatting>
  <conditionalFormatting sqref="Z12:Z44">
    <cfRule type="cellIs" dxfId="281" priority="8" operator="lessThan">
      <formula>0</formula>
    </cfRule>
  </conditionalFormatting>
  <conditionalFormatting sqref="Z49:Z68">
    <cfRule type="cellIs" dxfId="280" priority="5" operator="lessThan">
      <formula>0</formula>
    </cfRule>
  </conditionalFormatting>
  <conditionalFormatting sqref="AB1:AB1048576">
    <cfRule type="containsText" dxfId="279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1" manualBreakCount="11">
    <brk id="6" max="88" man="1"/>
    <brk id="10" max="88" man="1"/>
    <brk id="16" max="88" man="1"/>
    <brk id="18" max="88" man="1"/>
    <brk id="27" max="88" man="1"/>
    <brk id="29" max="1048575" man="1"/>
    <brk id="52" max="1048575" man="1"/>
    <brk id="58" max="1048575" man="1"/>
    <brk id="101" max="1048575" man="1"/>
    <brk id="110" max="1048575" man="1"/>
    <brk id="111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2187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9.5546875" style="50" customWidth="1"/>
    <col min="19" max="19" width="6.6640625" style="39" customWidth="1"/>
    <col min="20" max="20" width="31.21875" style="39" customWidth="1"/>
    <col min="21" max="21" width="19.109375" style="39" customWidth="1"/>
    <col min="22" max="27" width="18.88671875" style="39" customWidth="1"/>
    <col min="28" max="28" width="23.664062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53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18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53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53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55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68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74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18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80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#17'!V12,"OK","Send in Change Order")</f>
        <v>OK</v>
      </c>
      <c r="S12" s="85">
        <v>1</v>
      </c>
      <c r="T12" s="86" t="str">
        <f>'Request #17'!T12</f>
        <v>Land/Site Grading &amp; Improv.</v>
      </c>
      <c r="U12" s="215">
        <f>'Request #17'!U12</f>
        <v>0</v>
      </c>
      <c r="V12" s="87">
        <f>'Request #17'!V12</f>
        <v>0</v>
      </c>
      <c r="W12" s="88">
        <f>SUMIF(F7:F79,1,E7:E79)</f>
        <v>0</v>
      </c>
      <c r="X12" s="88">
        <f>'Request #17'!Y12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#17'!AA12,"OK","Alert,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#17'!V13,"OK","Send in Change Order")</f>
        <v>OK</v>
      </c>
      <c r="S13" s="85">
        <v>2</v>
      </c>
      <c r="T13" s="86" t="str">
        <f>'Request #17'!T13</f>
        <v xml:space="preserve">General Contract </v>
      </c>
      <c r="U13" s="215">
        <f>'Request #17'!U13</f>
        <v>0</v>
      </c>
      <c r="V13" s="87">
        <f>'Request #17'!V13</f>
        <v>0</v>
      </c>
      <c r="W13" s="88">
        <f>SUMIF(F7:F79,2,E7:E79)</f>
        <v>0</v>
      </c>
      <c r="X13" s="88">
        <f>'Request #17'!Y13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#17'!AA13,"OK","Alert,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#17'!V14,"OK","Send in Change Order")</f>
        <v>OK</v>
      </c>
      <c r="S14" s="85">
        <v>3</v>
      </c>
      <c r="T14" s="86" t="str">
        <f>'Request #17'!T14</f>
        <v>Designer Contract</v>
      </c>
      <c r="U14" s="215">
        <f>'Request #17'!U14</f>
        <v>0</v>
      </c>
      <c r="V14" s="87">
        <f>'Request #17'!V14</f>
        <v>0</v>
      </c>
      <c r="W14" s="88">
        <f>SUMIF(F7:F79,3,E7:E79)</f>
        <v>0</v>
      </c>
      <c r="X14" s="88">
        <f>'Request #17'!Y14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#17'!AA14,"OK","Alert,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#17'!V15,"OK","Send in Change Order")</f>
        <v>OK</v>
      </c>
      <c r="S15" s="85">
        <v>4</v>
      </c>
      <c r="T15" s="86" t="str">
        <f>'Request #17'!T15</f>
        <v>Designer Reimbursables</v>
      </c>
      <c r="U15" s="215">
        <f>'Request #17'!U15</f>
        <v>0</v>
      </c>
      <c r="V15" s="87">
        <f>'Request #17'!V15</f>
        <v>0</v>
      </c>
      <c r="W15" s="88">
        <f>SUMIF(F7:F79,4,E7:E79)</f>
        <v>0</v>
      </c>
      <c r="X15" s="88">
        <f>'Request #17'!Y15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#17'!AA15,"OK","Alert,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#17'!V16,"OK","Send in Change Order")</f>
        <v>OK</v>
      </c>
      <c r="S16" s="85">
        <v>5</v>
      </c>
      <c r="T16" s="86" t="str">
        <f>'Request #17'!T16</f>
        <v>Other Contracts</v>
      </c>
      <c r="U16" s="215">
        <f>'Request #17'!U16</f>
        <v>0</v>
      </c>
      <c r="V16" s="87">
        <f>'Request #17'!V16</f>
        <v>0</v>
      </c>
      <c r="W16" s="88">
        <f>SUMIF(F7:F79,5,E7:E79)</f>
        <v>0</v>
      </c>
      <c r="X16" s="88">
        <f>'Request #17'!Y16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#17'!AA16,"OK","Alert,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#17'!V17,"OK","Send in Change Order")</f>
        <v>OK</v>
      </c>
      <c r="S17" s="85">
        <v>6</v>
      </c>
      <c r="T17" s="86" t="str">
        <f>'Request #17'!T17</f>
        <v>Other Contracts</v>
      </c>
      <c r="U17" s="215">
        <f>'Request #17'!U17</f>
        <v>0</v>
      </c>
      <c r="V17" s="87">
        <f>'Request #17'!V17</f>
        <v>0</v>
      </c>
      <c r="W17" s="88">
        <f>SUMIF(F7:F79,6,E7:E79)</f>
        <v>0</v>
      </c>
      <c r="X17" s="88">
        <f>'Request #17'!Y17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#17'!AA17,"OK","Alert,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#17'!V18,"OK","Send in Change Order")</f>
        <v>OK</v>
      </c>
      <c r="S18" s="85">
        <v>7</v>
      </c>
      <c r="T18" s="86" t="str">
        <f>'Request #17'!T18</f>
        <v>Other Contracts</v>
      </c>
      <c r="U18" s="215">
        <f>'Request #17'!U18</f>
        <v>0</v>
      </c>
      <c r="V18" s="87">
        <f>'Request #17'!V18</f>
        <v>0</v>
      </c>
      <c r="W18" s="88">
        <f>SUMIF(F7:F79,7,E7:E79)</f>
        <v>0</v>
      </c>
      <c r="X18" s="88">
        <f>'Request #17'!Y18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#17'!AA18,"OK","Alert,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#17'!V19,"OK","Send in Change Order")</f>
        <v>OK</v>
      </c>
      <c r="S19" s="85">
        <v>8</v>
      </c>
      <c r="T19" s="86" t="str">
        <f>'Request #17'!T19</f>
        <v>Other Contracts</v>
      </c>
      <c r="U19" s="215">
        <f>'Request #17'!U19</f>
        <v>0</v>
      </c>
      <c r="V19" s="87">
        <f>'Request #17'!V19</f>
        <v>0</v>
      </c>
      <c r="W19" s="88">
        <f>SUMIF(F7:F79,8,E7:E79)</f>
        <v>0</v>
      </c>
      <c r="X19" s="88">
        <f>'Request #17'!Y19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#17'!AA19,"OK","Alert,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#17'!V20,"OK","Send in Change Order")</f>
        <v>OK</v>
      </c>
      <c r="S20" s="85">
        <v>9</v>
      </c>
      <c r="T20" s="86" t="str">
        <f>'Request #17'!T20</f>
        <v>Other Contracts</v>
      </c>
      <c r="U20" s="215">
        <f>'Request #17'!U20</f>
        <v>0</v>
      </c>
      <c r="V20" s="87">
        <f>'Request #17'!V20</f>
        <v>0</v>
      </c>
      <c r="W20" s="88">
        <f>SUMIF(F7:F79,9,E7:E79)</f>
        <v>0</v>
      </c>
      <c r="X20" s="88">
        <f>'Request #17'!Y20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#17'!AA20,"OK","Alert,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#17'!V21,"OK","Send in Change Order")</f>
        <v>OK</v>
      </c>
      <c r="S21" s="85">
        <v>10</v>
      </c>
      <c r="T21" s="86" t="str">
        <f>'Request #17'!T21</f>
        <v>Other Contracts</v>
      </c>
      <c r="U21" s="215">
        <f>'Request #17'!U21</f>
        <v>0</v>
      </c>
      <c r="V21" s="87">
        <f>'Request #17'!V21</f>
        <v>0</v>
      </c>
      <c r="W21" s="88">
        <f>SUMIF(F7:F79,10,E7:E79)</f>
        <v>0</v>
      </c>
      <c r="X21" s="88">
        <f>'Request #17'!Y21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#17'!AA21,"OK","Alert,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#17'!V22,"OK","Send in Change Order")</f>
        <v>OK</v>
      </c>
      <c r="S22" s="85">
        <v>11</v>
      </c>
      <c r="T22" s="86" t="str">
        <f>'Request #17'!T22</f>
        <v>Other Contracts</v>
      </c>
      <c r="U22" s="215">
        <f>'Request #17'!U22</f>
        <v>0</v>
      </c>
      <c r="V22" s="87">
        <f>'Request #17'!V22</f>
        <v>0</v>
      </c>
      <c r="W22" s="88">
        <f>SUMIF(F7:F79,11,E7:E79)</f>
        <v>0</v>
      </c>
      <c r="X22" s="88">
        <f>'Request #17'!Y22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#17'!AA22,"OK","Alert,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#17'!V23,"OK","Send in Change Order")</f>
        <v>OK</v>
      </c>
      <c r="S23" s="85">
        <v>12</v>
      </c>
      <c r="T23" s="86" t="str">
        <f>'Request #17'!T23</f>
        <v>Other Contracts</v>
      </c>
      <c r="U23" s="215">
        <f>'Request #17'!U23</f>
        <v>0</v>
      </c>
      <c r="V23" s="87">
        <f>'Request #17'!V23</f>
        <v>0</v>
      </c>
      <c r="W23" s="88">
        <f>SUMIF(F7:F79,12,E7:E79)</f>
        <v>0</v>
      </c>
      <c r="X23" s="88">
        <f>'Request #17'!Y23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#17'!AA23,"OK","Alert,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#17'!V24,"OK","Send in Change Order")</f>
        <v>OK</v>
      </c>
      <c r="S24" s="85">
        <v>13</v>
      </c>
      <c r="T24" s="86" t="str">
        <f>'Request #17'!T24</f>
        <v>Other Contracts</v>
      </c>
      <c r="U24" s="215">
        <f>'Request #17'!U24</f>
        <v>0</v>
      </c>
      <c r="V24" s="87">
        <f>'Request #17'!V24</f>
        <v>0</v>
      </c>
      <c r="W24" s="88">
        <f>SUMIF(F7:F79,13,E7:E79)</f>
        <v>0</v>
      </c>
      <c r="X24" s="88">
        <f>'Request #17'!Y24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#17'!AA24,"OK","Alert,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#17'!V25,"OK","Send in Change Order")</f>
        <v>OK</v>
      </c>
      <c r="S25" s="85">
        <v>14</v>
      </c>
      <c r="T25" s="86" t="str">
        <f>'Request #17'!T25</f>
        <v>Other Contracts</v>
      </c>
      <c r="U25" s="215">
        <f>'Request #17'!U25</f>
        <v>0</v>
      </c>
      <c r="V25" s="87">
        <f>'Request #17'!V25</f>
        <v>0</v>
      </c>
      <c r="W25" s="88">
        <f>SUMIF(F7:F79,14,E7:E79)</f>
        <v>0</v>
      </c>
      <c r="X25" s="88">
        <f>'Request #17'!Y25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#17'!AA25,"OK","Alert,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#17'!V26,"OK","Send in Change Order")</f>
        <v>OK</v>
      </c>
      <c r="S26" s="85">
        <v>15</v>
      </c>
      <c r="T26" s="86" t="str">
        <f>'Request #17'!T26</f>
        <v>Other Contracts</v>
      </c>
      <c r="U26" s="215">
        <f>'Request #17'!U26</f>
        <v>0</v>
      </c>
      <c r="V26" s="87">
        <f>'Request #17'!V26</f>
        <v>0</v>
      </c>
      <c r="W26" s="88">
        <f>SUMIF(F7:F79,15,E7:E79)</f>
        <v>0</v>
      </c>
      <c r="X26" s="88">
        <f>'Request #17'!Y26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#17'!AA26,"OK","Alert,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#17'!V27,"OK","Send in Change Order")</f>
        <v>OK</v>
      </c>
      <c r="S27" s="85">
        <v>16</v>
      </c>
      <c r="T27" s="86" t="str">
        <f>'Request #17'!T27</f>
        <v>Other Contracts</v>
      </c>
      <c r="U27" s="215">
        <f>'Request #17'!U27</f>
        <v>0</v>
      </c>
      <c r="V27" s="87">
        <f>'Request #17'!V27</f>
        <v>0</v>
      </c>
      <c r="W27" s="88">
        <f>SUMIF(F7:F79,16,E7:E79)</f>
        <v>0</v>
      </c>
      <c r="X27" s="88">
        <f>'Request #17'!Y27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#17'!AA27,"OK","Alert,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#17'!V28,"OK","Send in Change Order")</f>
        <v>OK</v>
      </c>
      <c r="S28" s="85">
        <v>17</v>
      </c>
      <c r="T28" s="86" t="str">
        <f>'Request #17'!T28</f>
        <v>Other Contracts</v>
      </c>
      <c r="U28" s="215">
        <f>'Request #17'!U28</f>
        <v>0</v>
      </c>
      <c r="V28" s="87">
        <f>'Request #17'!V28</f>
        <v>0</v>
      </c>
      <c r="W28" s="88">
        <f>SUMIF(F7:F79,17,E7:E79)</f>
        <v>0</v>
      </c>
      <c r="X28" s="88">
        <f>'Request #17'!Y28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#17'!AA28,"OK","Alert,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#17'!V29,"OK","Send in Change Order")</f>
        <v>OK</v>
      </c>
      <c r="S29" s="85">
        <v>18</v>
      </c>
      <c r="T29" s="86" t="str">
        <f>'Request #17'!T29</f>
        <v>Other Contracts</v>
      </c>
      <c r="U29" s="215">
        <f>'Request #17'!U29</f>
        <v>0</v>
      </c>
      <c r="V29" s="87">
        <f>'Request #17'!V29</f>
        <v>0</v>
      </c>
      <c r="W29" s="88">
        <f>SUMIF(F7:F79,18,E7:E79)</f>
        <v>0</v>
      </c>
      <c r="X29" s="88">
        <f>'Request #17'!Y29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#17'!AA29,"OK","Alert,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#17'!V30,"OK","Send in Change Order")</f>
        <v>OK</v>
      </c>
      <c r="S30" s="85">
        <v>19</v>
      </c>
      <c r="T30" s="86" t="str">
        <f>'Request #17'!T30</f>
        <v>Other Contracts</v>
      </c>
      <c r="U30" s="215">
        <f>'Request #17'!U30</f>
        <v>0</v>
      </c>
      <c r="V30" s="87">
        <f>'Request #17'!V30</f>
        <v>0</v>
      </c>
      <c r="W30" s="88">
        <f>SUMIF(F7:F79,19,E7:E79)</f>
        <v>0</v>
      </c>
      <c r="X30" s="88">
        <f>'Request #17'!Y30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#17'!AA30,"OK","Alert,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#17'!V31,"OK","Send in Change Order")</f>
        <v>OK</v>
      </c>
      <c r="S31" s="85">
        <v>20</v>
      </c>
      <c r="T31" s="86" t="str">
        <f>'Request #17'!T31</f>
        <v>Other Contracts</v>
      </c>
      <c r="U31" s="215">
        <f>'Request #17'!U31</f>
        <v>0</v>
      </c>
      <c r="V31" s="87">
        <f>'Request #17'!V31</f>
        <v>0</v>
      </c>
      <c r="W31" s="88">
        <f>SUMIF(F7:F79,20,E7:E79)</f>
        <v>0</v>
      </c>
      <c r="X31" s="88">
        <f>'Request #17'!Y31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#17'!AA31,"OK","Alert,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#17'!V32,"OK","Send in Change Order")</f>
        <v>OK</v>
      </c>
      <c r="S32" s="85">
        <v>21</v>
      </c>
      <c r="T32" s="86" t="str">
        <f>'Request #17'!T32</f>
        <v>Other Contracts</v>
      </c>
      <c r="U32" s="215">
        <f>'Request #17'!U32</f>
        <v>0</v>
      </c>
      <c r="V32" s="87">
        <f>'Request #17'!V32</f>
        <v>0</v>
      </c>
      <c r="W32" s="88">
        <f>SUMIF(F7:F79,21,E7:E79)</f>
        <v>0</v>
      </c>
      <c r="X32" s="88">
        <f>'Request #17'!Y32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#17'!AA32,"OK","Alert,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#17'!V33,"OK","Send in Change Order")</f>
        <v>OK</v>
      </c>
      <c r="S33" s="85">
        <v>22</v>
      </c>
      <c r="T33" s="86" t="str">
        <f>'Request #17'!T33</f>
        <v>Other Contracts</v>
      </c>
      <c r="U33" s="215">
        <f>'Request #17'!U33</f>
        <v>0</v>
      </c>
      <c r="V33" s="87">
        <f>'Request #17'!V33</f>
        <v>0</v>
      </c>
      <c r="W33" s="88">
        <f>SUMIF(F7:F79,22,E7:E79)</f>
        <v>0</v>
      </c>
      <c r="X33" s="88">
        <f>'Request #17'!Y33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#17'!AA33,"OK","Alert,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#17'!V34,"OK","Send in Change Order")</f>
        <v>OK</v>
      </c>
      <c r="S34" s="85">
        <v>23</v>
      </c>
      <c r="T34" s="86" t="str">
        <f>'Request #17'!T34</f>
        <v>Other Contracts</v>
      </c>
      <c r="U34" s="215">
        <f>'Request #17'!U34</f>
        <v>0</v>
      </c>
      <c r="V34" s="87">
        <f>'Request #17'!V34</f>
        <v>0</v>
      </c>
      <c r="W34" s="88">
        <f>SUMIF(F7:F79,23,E7:E79)</f>
        <v>0</v>
      </c>
      <c r="X34" s="88">
        <f>'Request #17'!Y34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#17'!AA34,"OK","Alert,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#17'!V35,"OK","Send in Change Order")</f>
        <v>OK</v>
      </c>
      <c r="S35" s="85">
        <v>24</v>
      </c>
      <c r="T35" s="86" t="str">
        <f>'Request #17'!T35</f>
        <v>Other Contracts</v>
      </c>
      <c r="U35" s="215">
        <f>'Request #17'!U35</f>
        <v>0</v>
      </c>
      <c r="V35" s="87">
        <f>'Request #17'!V35</f>
        <v>0</v>
      </c>
      <c r="W35" s="88">
        <f>SUMIF(F7:F79,24,E7:E79)</f>
        <v>0</v>
      </c>
      <c r="X35" s="88">
        <f>'Request #17'!Y35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#17'!AA35,"OK","Alert,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#17'!V36,"OK","Send in Change Order")</f>
        <v>OK</v>
      </c>
      <c r="S36" s="85">
        <v>25</v>
      </c>
      <c r="T36" s="86" t="str">
        <f>'Request #17'!T36</f>
        <v>Other Contracts</v>
      </c>
      <c r="U36" s="215">
        <f>'Request #17'!U36</f>
        <v>0</v>
      </c>
      <c r="V36" s="87">
        <f>'Request #17'!V36</f>
        <v>0</v>
      </c>
      <c r="W36" s="88">
        <f>SUMIF(F7:F79,25,E7:E79)</f>
        <v>0</v>
      </c>
      <c r="X36" s="88">
        <f>'Request #17'!Y36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#17'!AA36,"OK","Alert,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#17'!V37,"OK","Send in Change Order")</f>
        <v>OK</v>
      </c>
      <c r="S37" s="85">
        <v>26</v>
      </c>
      <c r="T37" s="86" t="str">
        <f>'Request #17'!T37</f>
        <v>Other Fees</v>
      </c>
      <c r="U37" s="215">
        <f>'Request #17'!U37</f>
        <v>0</v>
      </c>
      <c r="V37" s="87">
        <f>'Request #17'!V37</f>
        <v>0</v>
      </c>
      <c r="W37" s="88">
        <f>SUMIF(F7:F79,26,E7:E79)</f>
        <v>0</v>
      </c>
      <c r="X37" s="88">
        <f>'Request #17'!Y37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#17'!AA37,"OK","Alert,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#17'!V38,"OK","Send in Change Order")</f>
        <v>OK</v>
      </c>
      <c r="S38" s="85">
        <v>27</v>
      </c>
      <c r="T38" s="86" t="str">
        <f>'Request #17'!T38</f>
        <v>Other Fees</v>
      </c>
      <c r="U38" s="215">
        <f>'Request #17'!U38</f>
        <v>0</v>
      </c>
      <c r="V38" s="87">
        <f>'Request #17'!V38</f>
        <v>0</v>
      </c>
      <c r="W38" s="88">
        <f>SUMIF(F7:F79,27,E7:E79)</f>
        <v>0</v>
      </c>
      <c r="X38" s="88">
        <f>'Request #17'!Y38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#17'!AA38,"OK","Alert,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#17'!V39,"OK","Send in Change Order")</f>
        <v>OK</v>
      </c>
      <c r="S39" s="85">
        <v>28</v>
      </c>
      <c r="T39" s="86" t="str">
        <f>'Request #17'!T39</f>
        <v>Other Fees</v>
      </c>
      <c r="U39" s="215">
        <f>'Request #17'!U39</f>
        <v>0</v>
      </c>
      <c r="V39" s="87">
        <f>'Request #17'!V39</f>
        <v>0</v>
      </c>
      <c r="W39" s="88">
        <f>SUMIF(F7:F79,28,E7:E79)</f>
        <v>0</v>
      </c>
      <c r="X39" s="88">
        <f>'Request #17'!Y39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#17'!AA39,"OK","Alert,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#17'!V40,"OK","Send in Change Order")</f>
        <v>OK</v>
      </c>
      <c r="S40" s="85">
        <v>29</v>
      </c>
      <c r="T40" s="86" t="str">
        <f>'Request #17'!T40</f>
        <v>Other Fees</v>
      </c>
      <c r="U40" s="215">
        <f>'Request #17'!U40</f>
        <v>0</v>
      </c>
      <c r="V40" s="87">
        <f>'Request #17'!V40</f>
        <v>0</v>
      </c>
      <c r="W40" s="88">
        <f>SUMIF(F7:F79,29,E7:E79)</f>
        <v>0</v>
      </c>
      <c r="X40" s="88">
        <f>'Request #17'!Y40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#17'!AA40,"OK","Alert,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#17'!V41,"OK","Send in Change Order")</f>
        <v>OK</v>
      </c>
      <c r="S41" s="85">
        <v>30</v>
      </c>
      <c r="T41" s="86" t="str">
        <f>'Request #17'!T41</f>
        <v>Other Fees</v>
      </c>
      <c r="U41" s="215">
        <f>'Request #17'!U41</f>
        <v>0</v>
      </c>
      <c r="V41" s="87">
        <f>'Request #17'!V41</f>
        <v>0</v>
      </c>
      <c r="W41" s="88">
        <f>SUMIF(F7:F79,30,E7:E79)</f>
        <v>0</v>
      </c>
      <c r="X41" s="88">
        <f>'Request #17'!Y41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#17'!AA41,"OK","Alert,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#17'!V42,"OK","Send in Change Order")</f>
        <v>OK</v>
      </c>
      <c r="S42" s="85">
        <v>31</v>
      </c>
      <c r="T42" s="86" t="str">
        <f>'Request #17'!T42</f>
        <v>Other Fees</v>
      </c>
      <c r="U42" s="215">
        <f>'Request #17'!U42</f>
        <v>0</v>
      </c>
      <c r="V42" s="87">
        <f>'Request #17'!V42</f>
        <v>0</v>
      </c>
      <c r="W42" s="88">
        <f>SUMIF(F7:F79,31,E7:E79)</f>
        <v>0</v>
      </c>
      <c r="X42" s="88">
        <f>'Request #17'!Y42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#17'!AA42,"OK","Alert,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#17'!V43,"OK","Send in Change Order")</f>
        <v>OK</v>
      </c>
      <c r="S43" s="85">
        <v>32</v>
      </c>
      <c r="T43" s="86" t="str">
        <f>'Request #17'!T43</f>
        <v>Other Fees</v>
      </c>
      <c r="U43" s="215">
        <f>'Request #17'!U43</f>
        <v>0</v>
      </c>
      <c r="V43" s="87">
        <f>'Request #17'!V43</f>
        <v>0</v>
      </c>
      <c r="W43" s="88">
        <f>SUMIF(F7:F79,32,E7:E79)</f>
        <v>0</v>
      </c>
      <c r="X43" s="88">
        <f>'Request #17'!Y43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#17'!AA43,"OK","Alert,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#17'!V44,"OK","Send in Change Order")</f>
        <v>OK</v>
      </c>
      <c r="S44" s="85">
        <v>33</v>
      </c>
      <c r="T44" s="86" t="str">
        <f>'Request #17'!T44</f>
        <v>Other Fees</v>
      </c>
      <c r="U44" s="215">
        <f>'Request #17'!U44</f>
        <v>0</v>
      </c>
      <c r="V44" s="87">
        <f>'Request #17'!V44</f>
        <v>0</v>
      </c>
      <c r="W44" s="88">
        <f>SUMIF(F7:F79,33,E7:E79)</f>
        <v>0</v>
      </c>
      <c r="X44" s="88">
        <f>'Request #17'!Y44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#17'!AA44,"OK","Alert,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#17'!V49,"OK","Send in Change Order")</f>
        <v>OK</v>
      </c>
      <c r="S49" s="85">
        <v>38</v>
      </c>
      <c r="T49" s="86" t="str">
        <f>'Request #17'!T49</f>
        <v>Other Fees</v>
      </c>
      <c r="U49" s="215">
        <f>'Request #17'!U49</f>
        <v>0</v>
      </c>
      <c r="V49" s="87">
        <f>'Request #17'!V49</f>
        <v>0</v>
      </c>
      <c r="W49" s="88">
        <f>SUMIF(F7:F79,38,E7:E79)</f>
        <v>0</v>
      </c>
      <c r="X49" s="88">
        <f>'Request #17'!Y49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#17'!AA49,"OK","Alert,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#17'!V50,"OK","Send in Change Order")</f>
        <v>OK</v>
      </c>
      <c r="S50" s="85">
        <v>39</v>
      </c>
      <c r="T50" s="86" t="str">
        <f>'Request #17'!T50</f>
        <v>Other Fees</v>
      </c>
      <c r="U50" s="215">
        <f>'Request #17'!U50</f>
        <v>0</v>
      </c>
      <c r="V50" s="87">
        <f>'Request #17'!V50</f>
        <v>0</v>
      </c>
      <c r="W50" s="88">
        <f>SUMIF(F7:F79,39,E7:E79)</f>
        <v>0</v>
      </c>
      <c r="X50" s="88">
        <f>'Request #17'!Y50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#17'!AA50,"OK","Alert,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#17'!V51,"OK","Send in Change Order")</f>
        <v>OK</v>
      </c>
      <c r="S51" s="85">
        <v>40</v>
      </c>
      <c r="T51" s="86" t="str">
        <f>'Request #17'!T51</f>
        <v>Other Fees</v>
      </c>
      <c r="U51" s="215">
        <f>'Request #17'!U51</f>
        <v>0</v>
      </c>
      <c r="V51" s="87">
        <f>'Request #17'!V51</f>
        <v>0</v>
      </c>
      <c r="W51" s="88">
        <f>SUMIF(F7:F79,40,E7:E79)</f>
        <v>0</v>
      </c>
      <c r="X51" s="88">
        <f>'Request #17'!Y51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#17'!AA51,"OK","Alert,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#17'!V52,"OK","Send in Change Order")</f>
        <v>OK</v>
      </c>
      <c r="S52" s="85">
        <v>41</v>
      </c>
      <c r="T52" s="86" t="str">
        <f>'Request #17'!T52</f>
        <v>Other Fees</v>
      </c>
      <c r="U52" s="215">
        <f>'Request #17'!U52</f>
        <v>0</v>
      </c>
      <c r="V52" s="87">
        <f>'Request #17'!V52</f>
        <v>0</v>
      </c>
      <c r="W52" s="88">
        <f>SUMIF(F7:F79,41,E7:E79)</f>
        <v>0</v>
      </c>
      <c r="X52" s="88">
        <f>'Request #17'!Y52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#17'!AA52,"OK","Alert,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#17'!V53,"OK","Send in Change Order")</f>
        <v>OK</v>
      </c>
      <c r="S53" s="85">
        <v>42</v>
      </c>
      <c r="T53" s="86" t="str">
        <f>'Request #17'!T53</f>
        <v>Other Fees</v>
      </c>
      <c r="U53" s="215">
        <f>'Request #17'!U53</f>
        <v>0</v>
      </c>
      <c r="V53" s="87">
        <f>'Request #17'!V53</f>
        <v>0</v>
      </c>
      <c r="W53" s="88">
        <f>SUMIF(F7:F79,42,E7:E79)</f>
        <v>0</v>
      </c>
      <c r="X53" s="88">
        <f>'Request #17'!Y53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#17'!AA53,"OK","Alert,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#17'!V54,"OK","Send in Change Order")</f>
        <v>OK</v>
      </c>
      <c r="S54" s="85">
        <v>43</v>
      </c>
      <c r="T54" s="86" t="str">
        <f>'Request #17'!T54</f>
        <v>Other Fees</v>
      </c>
      <c r="U54" s="215">
        <f>'Request #17'!U54</f>
        <v>0</v>
      </c>
      <c r="V54" s="87">
        <f>'Request #17'!V54</f>
        <v>0</v>
      </c>
      <c r="W54" s="88">
        <f>SUMIF(F7:F79,43,E7:E79)</f>
        <v>0</v>
      </c>
      <c r="X54" s="88">
        <f>'Request #17'!Y54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#17'!AA54,"OK","Alert,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#17'!V55,"OK","Send in Change Order")</f>
        <v>OK</v>
      </c>
      <c r="S55" s="85">
        <v>44</v>
      </c>
      <c r="T55" s="86" t="str">
        <f>'Request #17'!T55</f>
        <v>Other Fees</v>
      </c>
      <c r="U55" s="215">
        <f>'Request #17'!U55</f>
        <v>0</v>
      </c>
      <c r="V55" s="87">
        <f>'Request #17'!V55</f>
        <v>0</v>
      </c>
      <c r="W55" s="88">
        <f>SUMIF(F7:F79,44,E7:E79)</f>
        <v>0</v>
      </c>
      <c r="X55" s="88">
        <f>'Request #17'!Y55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#17'!AA55,"OK","Alert,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#17'!V56,"OK","Send in Change Order")</f>
        <v>OK</v>
      </c>
      <c r="S56" s="85">
        <v>45</v>
      </c>
      <c r="T56" s="86" t="str">
        <f>'Request #17'!T56</f>
        <v>Other Fees</v>
      </c>
      <c r="U56" s="215">
        <f>'Request #17'!U56</f>
        <v>0</v>
      </c>
      <c r="V56" s="87">
        <f>'Request #17'!V56</f>
        <v>0</v>
      </c>
      <c r="W56" s="88">
        <f>SUMIF(F7:F79,45,E7:E79)</f>
        <v>0</v>
      </c>
      <c r="X56" s="88">
        <f>'Request #17'!Y56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#17'!AA56,"OK","Alert,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#17'!V57,"OK","Send in Change Order")</f>
        <v>OK</v>
      </c>
      <c r="S57" s="85">
        <v>46</v>
      </c>
      <c r="T57" s="86" t="str">
        <f>'Request #17'!T57</f>
        <v>Other Fees</v>
      </c>
      <c r="U57" s="215">
        <f>'Request #17'!U57</f>
        <v>0</v>
      </c>
      <c r="V57" s="87">
        <f>'Request #17'!V57</f>
        <v>0</v>
      </c>
      <c r="W57" s="88">
        <f>SUMIF(F7:F79,46,E7:E79)</f>
        <v>0</v>
      </c>
      <c r="X57" s="88">
        <f>'Request #17'!Y57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#17'!AA57,"OK","Alert,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#17'!V58,"OK","Send in Change Order")</f>
        <v>OK</v>
      </c>
      <c r="S58" s="85">
        <v>47</v>
      </c>
      <c r="T58" s="86" t="str">
        <f>'Request #17'!T58</f>
        <v>Other Fees</v>
      </c>
      <c r="U58" s="215">
        <f>'Request #17'!U58</f>
        <v>0</v>
      </c>
      <c r="V58" s="87">
        <f>'Request #17'!V58</f>
        <v>0</v>
      </c>
      <c r="W58" s="88">
        <f>SUMIF(F7:F79,47,E7:E79)</f>
        <v>0</v>
      </c>
      <c r="X58" s="88">
        <f>'Request #17'!Y58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#17'!AA58,"OK","Alert,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#17'!V59,"OK","Send in Change Order")</f>
        <v>OK</v>
      </c>
      <c r="S59" s="85">
        <v>48</v>
      </c>
      <c r="T59" s="86" t="str">
        <f>'Request #17'!T59</f>
        <v>Other Fees</v>
      </c>
      <c r="U59" s="215">
        <f>'Request #17'!U59</f>
        <v>0</v>
      </c>
      <c r="V59" s="87">
        <f>'Request #17'!V59</f>
        <v>0</v>
      </c>
      <c r="W59" s="88">
        <f>SUMIF(F7:F79,48,E7:E79)</f>
        <v>0</v>
      </c>
      <c r="X59" s="88">
        <f>'Request #17'!Y59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#17'!AA59,"OK","Alert,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#17'!V60,"OK","Send in Change Order")</f>
        <v>OK</v>
      </c>
      <c r="S60" s="85">
        <v>49</v>
      </c>
      <c r="T60" s="86" t="str">
        <f>'Request #17'!T60</f>
        <v>Other Fees</v>
      </c>
      <c r="U60" s="215">
        <f>'Request #17'!U60</f>
        <v>0</v>
      </c>
      <c r="V60" s="87">
        <f>'Request #17'!V60</f>
        <v>0</v>
      </c>
      <c r="W60" s="88">
        <f>SUMIF(F7:F79,49,E7:E79)</f>
        <v>0</v>
      </c>
      <c r="X60" s="88">
        <f>'Request #17'!Y60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#17'!AA60,"OK","Alert,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#17'!V61,"OK","Send in Change Order")</f>
        <v>OK</v>
      </c>
      <c r="S61" s="85">
        <v>50</v>
      </c>
      <c r="T61" s="86" t="str">
        <f>'Request #17'!T61</f>
        <v>Other Fees</v>
      </c>
      <c r="U61" s="215">
        <f>'Request #17'!U61</f>
        <v>0</v>
      </c>
      <c r="V61" s="87">
        <f>'Request #17'!V61</f>
        <v>0</v>
      </c>
      <c r="W61" s="88">
        <f>SUMIF(F7:F79,50,E7:E79)</f>
        <v>0</v>
      </c>
      <c r="X61" s="88">
        <f>'Request #17'!Y61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#17'!AA61,"OK","Alert,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#17'!V62,"OK","Send in Change Order")</f>
        <v>OK</v>
      </c>
      <c r="S62" s="85">
        <v>51</v>
      </c>
      <c r="T62" s="86" t="str">
        <f>'Request #17'!T62</f>
        <v>Other Fees</v>
      </c>
      <c r="U62" s="215">
        <f>'Request #17'!U62</f>
        <v>0</v>
      </c>
      <c r="V62" s="87">
        <f>'Request #17'!V62</f>
        <v>0</v>
      </c>
      <c r="W62" s="88">
        <f>SUMIF(F7:F79,51,E7:E79)</f>
        <v>0</v>
      </c>
      <c r="X62" s="88">
        <f>'Request #17'!Y62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#17'!AA62,"OK","Alert,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#17'!V63,"OK","Send in Change Order")</f>
        <v>OK</v>
      </c>
      <c r="S63" s="85">
        <v>52</v>
      </c>
      <c r="T63" s="86" t="str">
        <f>'Request #17'!T63</f>
        <v>Worked Performed by Owner</v>
      </c>
      <c r="U63" s="215">
        <f>'Request #17'!U63</f>
        <v>0</v>
      </c>
      <c r="V63" s="87">
        <f>'Request #17'!V63</f>
        <v>0</v>
      </c>
      <c r="W63" s="88">
        <f>SUMIF(F7:F79,52,E7:E79)</f>
        <v>0</v>
      </c>
      <c r="X63" s="88">
        <f>'Request #17'!Y63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#17'!AA63,"OK","Alert,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#17'!V64,"OK","Send in Change Order")</f>
        <v>OK</v>
      </c>
      <c r="S64" s="85">
        <v>53</v>
      </c>
      <c r="T64" s="86" t="str">
        <f>'Request #17'!T64</f>
        <v>Equipment (Major)</v>
      </c>
      <c r="U64" s="215">
        <f>'Request #17'!U64</f>
        <v>0</v>
      </c>
      <c r="V64" s="87">
        <f>'Request #17'!V64</f>
        <v>0</v>
      </c>
      <c r="W64" s="88">
        <f>SUMIF(F7:F79,53,E7:E79)</f>
        <v>0</v>
      </c>
      <c r="X64" s="88">
        <f>'Request #17'!Y64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#17'!AA64,"OK","Alert,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#17'!V65,"OK","Send in Change Order")</f>
        <v>OK</v>
      </c>
      <c r="S65" s="85">
        <v>54</v>
      </c>
      <c r="T65" s="102" t="s">
        <v>90</v>
      </c>
      <c r="U65" s="215">
        <f>'Request #17'!U65</f>
        <v>0</v>
      </c>
      <c r="V65" s="87">
        <f>'Request #17'!V65</f>
        <v>0</v>
      </c>
      <c r="W65" s="104"/>
      <c r="X65" s="88">
        <f>'Request #17'!Y65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#17'!AA65,"OK","Alert,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#17'!V66,"OK","Send in Change Order")</f>
        <v>OK</v>
      </c>
      <c r="S66" s="85">
        <v>55</v>
      </c>
      <c r="T66" s="86"/>
      <c r="U66" s="215">
        <f>'Request #17'!U66</f>
        <v>0</v>
      </c>
      <c r="V66" s="87">
        <f>'Request #17'!V66</f>
        <v>0</v>
      </c>
      <c r="W66" s="88">
        <f>SUMIF(F7:F79,55,E7:E79)</f>
        <v>0</v>
      </c>
      <c r="X66" s="88">
        <f>'Request #17'!Y66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#17'!AA66,"OK","Alert,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#17'!V67,"OK","Send in Change Order")</f>
        <v>OK</v>
      </c>
      <c r="S67" s="85">
        <v>56</v>
      </c>
      <c r="T67" s="79"/>
      <c r="U67" s="215">
        <f>'Request #17'!U67</f>
        <v>0</v>
      </c>
      <c r="V67" s="87">
        <f>'Request #17'!V67</f>
        <v>0</v>
      </c>
      <c r="W67" s="88">
        <f>SUMIF(F7:F79,56,E7:E79)</f>
        <v>0</v>
      </c>
      <c r="X67" s="88">
        <f>'Request #17'!Y67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#17'!AA67,"OK","Alert,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#17'!V68,"OK","Send in Change Order")</f>
        <v>OK</v>
      </c>
      <c r="S68" s="316" t="s">
        <v>60</v>
      </c>
      <c r="T68" s="317"/>
      <c r="U68" s="166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#17'!AA68,"OK","Alert,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108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167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190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119" t="e">
        <f>V72/V68</f>
        <v>#DIV/0!</v>
      </c>
      <c r="V72" s="88">
        <f>V68-V74-V73</f>
        <v>0</v>
      </c>
      <c r="W72" s="87">
        <v>0</v>
      </c>
      <c r="X72" s="88">
        <f>'Request #17'!Y72</f>
        <v>0</v>
      </c>
      <c r="Y72" s="88">
        <f t="shared" ref="Y72:Y73" si="8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#17'!V73,"OK","Send in Change Order")</f>
        <v>OK</v>
      </c>
      <c r="S73" s="86" t="s">
        <v>95</v>
      </c>
      <c r="T73" s="114"/>
      <c r="U73" s="119" t="e">
        <f>V73/V68</f>
        <v>#DIV/0!</v>
      </c>
      <c r="V73" s="87">
        <f>'Request #17'!V73</f>
        <v>0</v>
      </c>
      <c r="W73" s="87">
        <v>0</v>
      </c>
      <c r="X73" s="88">
        <f>'Request #17'!Y73</f>
        <v>0</v>
      </c>
      <c r="Y73" s="88">
        <f t="shared" si="8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#17'!V74,"OK","Send in Change Order")</f>
        <v>OK</v>
      </c>
      <c r="S74" s="120" t="s">
        <v>96</v>
      </c>
      <c r="T74" s="121"/>
      <c r="U74" s="119" t="e">
        <f>V74/V68</f>
        <v>#DIV/0!</v>
      </c>
      <c r="V74" s="87">
        <f>'Request #17'!V74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55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1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114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114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136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55"/>
      <c r="V80" s="55"/>
      <c r="W80" s="55"/>
      <c r="X80" s="138"/>
      <c r="Y80" s="45" t="s">
        <v>108</v>
      </c>
      <c r="Z80" s="43"/>
      <c r="AA80" s="88">
        <f>'Request #17'!AA79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18</v>
      </c>
      <c r="V87" s="55"/>
      <c r="W87" s="55"/>
      <c r="X87" s="138"/>
      <c r="Y87" s="45" t="s">
        <v>108</v>
      </c>
      <c r="Z87" s="43"/>
      <c r="AA87" s="88">
        <f>'Request #17'!AA86</f>
        <v>0</v>
      </c>
      <c r="AB87" s="110"/>
    </row>
    <row r="88" spans="1:28" ht="30" customHeight="1" thickBot="1" x14ac:dyDescent="0.35">
      <c r="S88" s="55"/>
      <c r="T88" s="55"/>
      <c r="U88" s="55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55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55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55"/>
      <c r="V91" s="55"/>
      <c r="W91" s="55"/>
      <c r="X91" s="55"/>
    </row>
    <row r="92" spans="1:28" ht="30" customHeight="1" x14ac:dyDescent="0.3">
      <c r="S92" s="55"/>
      <c r="T92" s="55"/>
      <c r="U92" s="55"/>
      <c r="V92" s="55"/>
      <c r="W92" s="55"/>
      <c r="X92" s="55"/>
    </row>
    <row r="93" spans="1:28" ht="30" customHeight="1" x14ac:dyDescent="0.3">
      <c r="S93" s="55"/>
      <c r="T93" s="55"/>
      <c r="U93" s="55"/>
      <c r="V93" s="55"/>
      <c r="W93" s="55"/>
      <c r="X93" s="55"/>
    </row>
    <row r="94" spans="1:28" ht="30" customHeight="1" x14ac:dyDescent="0.3">
      <c r="S94" s="55"/>
      <c r="T94" s="55"/>
      <c r="U94" s="55"/>
      <c r="V94" s="55"/>
      <c r="W94" s="55"/>
      <c r="X94" s="55"/>
    </row>
    <row r="95" spans="1:28" ht="30" customHeight="1" x14ac:dyDescent="0.3">
      <c r="S95" s="55"/>
      <c r="T95" s="55"/>
      <c r="U95" s="55"/>
      <c r="V95" s="55"/>
      <c r="W95" s="55"/>
      <c r="X95" s="55"/>
    </row>
    <row r="96" spans="1:28" ht="30" customHeight="1" x14ac:dyDescent="0.3">
      <c r="S96" s="55"/>
      <c r="T96" s="55"/>
      <c r="U96" s="55"/>
      <c r="V96" s="55"/>
      <c r="W96" s="55"/>
      <c r="X96" s="55"/>
    </row>
    <row r="97" spans="15:24" ht="30" customHeight="1" x14ac:dyDescent="0.3">
      <c r="S97" s="55"/>
      <c r="T97" s="55"/>
      <c r="U97" s="55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WKQ9y/4WRyODh++4RaHvtoaKRlZuug1t4n6ZBuqG3t6Ksobtl/n5zJP5zA+95Z3rVubF73wxbS1kqLCSt7+Oqg==" saltValue="Emu5FplJ3LJqzbKM6Aq7Jw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278" priority="9" operator="containsText" text="Change">
      <formula>NOT(ISERROR(SEARCH("Change",R1)))</formula>
    </cfRule>
  </conditionalFormatting>
  <conditionalFormatting sqref="R45:R48">
    <cfRule type="cellIs" dxfId="277" priority="7" operator="equal">
      <formula>"Send in Change Order"</formula>
    </cfRule>
  </conditionalFormatting>
  <conditionalFormatting sqref="W68">
    <cfRule type="cellIs" dxfId="276" priority="2" operator="notEqual">
      <formula>$E$82</formula>
    </cfRule>
    <cfRule type="cellIs" dxfId="275" priority="3" operator="greaterThan">
      <formula>$E$82</formula>
    </cfRule>
    <cfRule type="cellIs" dxfId="274" priority="4" operator="notEqual">
      <formula>$E$82</formula>
    </cfRule>
  </conditionalFormatting>
  <conditionalFormatting sqref="Z12:Z44">
    <cfRule type="cellIs" dxfId="273" priority="8" operator="lessThan">
      <formula>0</formula>
    </cfRule>
  </conditionalFormatting>
  <conditionalFormatting sqref="Z49:Z68">
    <cfRule type="cellIs" dxfId="272" priority="5" operator="lessThan">
      <formula>0</formula>
    </cfRule>
  </conditionalFormatting>
  <conditionalFormatting sqref="AA68">
    <cfRule type="cellIs" dxfId="271" priority="1" operator="notEqual">
      <formula>$O$82</formula>
    </cfRule>
  </conditionalFormatting>
  <conditionalFormatting sqref="AB1:AB1048576">
    <cfRule type="containsText" dxfId="270" priority="6" operator="containsText" text="Alert">
      <formula>NOT(ISERROR(SEARCH("Alert",AB1)))</formula>
    </cfRule>
  </conditionalFormatting>
  <pageMargins left="0.7" right="0.7" top="0.75" bottom="0.75" header="0.3" footer="0.3"/>
  <pageSetup scale="44" orientation="portrait" r:id="rId1"/>
  <rowBreaks count="1" manualBreakCount="1">
    <brk id="44" max="16383" man="1"/>
  </rowBreaks>
  <colBreaks count="11" manualBreakCount="11">
    <brk id="6" max="88" man="1"/>
    <brk id="10" max="1048575" man="1"/>
    <brk id="16" max="88" man="1"/>
    <brk id="18" max="1048575" man="1"/>
    <brk id="27" max="88" man="1"/>
    <brk id="29" max="1048575" man="1"/>
    <brk id="52" max="1048575" man="1"/>
    <brk id="99" max="1048575" man="1"/>
    <brk id="101" max="1048575" man="1"/>
    <brk id="110" max="1048575" man="1"/>
    <brk id="1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35"/>
  <sheetViews>
    <sheetView view="pageBreakPreview" zoomScale="60" zoomScaleNormal="100" workbookViewId="0">
      <selection activeCell="U66" sqref="U66"/>
    </sheetView>
  </sheetViews>
  <sheetFormatPr defaultColWidth="8.88671875" defaultRowHeight="20.25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3.109375" style="194" customWidth="1"/>
    <col min="9" max="9" width="27" style="244" customWidth="1"/>
    <col min="10" max="10" width="8.88671875" style="40"/>
    <col min="11" max="11" width="17.77734375" style="39" customWidth="1"/>
    <col min="12" max="12" width="18.664062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171"/>
    <col min="18" max="18" width="7.109375" style="172" customWidth="1"/>
    <col min="19" max="19" width="6.21875" style="39" customWidth="1"/>
    <col min="20" max="20" width="30.33203125" style="39" customWidth="1"/>
    <col min="21" max="21" width="17.77734375" style="39" customWidth="1"/>
    <col min="22" max="22" width="18.88671875" style="39" bestFit="1" customWidth="1"/>
    <col min="23" max="27" width="18.88671875" style="39" customWidth="1"/>
    <col min="28" max="28" width="17.77734375" style="177" customWidth="1"/>
    <col min="29" max="29" width="7.109375" style="171"/>
    <col min="30" max="30" width="18.5546875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34" width="13" style="1" customWidth="1"/>
    <col min="35" max="16384" width="8.88671875" style="1"/>
  </cols>
  <sheetData>
    <row r="1" spans="1:34" ht="33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22"/>
      <c r="AD1" s="37" t="s">
        <v>20</v>
      </c>
      <c r="AF1" s="62" t="s">
        <v>8</v>
      </c>
      <c r="AG1" s="39">
        <f>'Project Info'!F7</f>
        <v>0</v>
      </c>
      <c r="AH1" s="278"/>
    </row>
    <row r="2" spans="1:34" s="12" customFormat="1" ht="30" customHeight="1" x14ac:dyDescent="0.3">
      <c r="A2" s="143" t="s">
        <v>21</v>
      </c>
      <c r="B2" s="141"/>
      <c r="C2" s="142"/>
      <c r="D2" s="39"/>
      <c r="E2" s="144">
        <f>'Project Info'!C7</f>
        <v>0</v>
      </c>
      <c r="F2" s="41"/>
      <c r="G2" s="194"/>
      <c r="H2" s="194"/>
      <c r="I2" s="244"/>
      <c r="J2" s="40"/>
      <c r="K2" s="143" t="s">
        <v>22</v>
      </c>
      <c r="L2" s="141"/>
      <c r="M2" s="142"/>
      <c r="N2" s="39"/>
      <c r="O2" s="144">
        <f>'Project Info'!C7</f>
        <v>0</v>
      </c>
      <c r="P2" s="41"/>
      <c r="Q2" s="13"/>
      <c r="R2" s="19"/>
      <c r="S2" s="53" t="s">
        <v>23</v>
      </c>
      <c r="T2" s="39"/>
      <c r="U2" s="39"/>
      <c r="V2" s="39"/>
      <c r="W2" s="39"/>
      <c r="X2" s="39"/>
      <c r="Y2" s="39"/>
      <c r="Z2" s="39"/>
      <c r="AA2" s="39"/>
      <c r="AB2" s="23"/>
      <c r="AC2" s="13"/>
      <c r="AD2" s="37"/>
      <c r="AE2" s="39"/>
      <c r="AF2" s="62" t="s">
        <v>8</v>
      </c>
      <c r="AG2" s="39">
        <f>'Project Info'!F8</f>
        <v>0</v>
      </c>
      <c r="AH2" s="279"/>
    </row>
    <row r="3" spans="1:34" s="12" customFormat="1" ht="30" customHeight="1" x14ac:dyDescent="0.3">
      <c r="A3" s="142"/>
      <c r="B3" s="141"/>
      <c r="C3" s="142"/>
      <c r="D3" s="39"/>
      <c r="E3" s="144">
        <f>'Project Info'!F13</f>
        <v>0</v>
      </c>
      <c r="F3" s="41"/>
      <c r="G3" s="194"/>
      <c r="H3" s="194"/>
      <c r="I3" s="244"/>
      <c r="J3" s="40"/>
      <c r="K3" s="142"/>
      <c r="L3" s="141"/>
      <c r="M3" s="142"/>
      <c r="N3" s="39"/>
      <c r="O3" s="144">
        <f>'Project Info'!F13</f>
        <v>0</v>
      </c>
      <c r="P3" s="41"/>
      <c r="Q3" s="13"/>
      <c r="R3" s="19"/>
      <c r="S3" s="55"/>
      <c r="T3" s="39"/>
      <c r="U3" s="53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1</v>
      </c>
      <c r="AB3" s="24"/>
      <c r="AC3" s="13"/>
      <c r="AD3" s="37"/>
      <c r="AE3" s="39"/>
      <c r="AF3" s="62" t="s">
        <v>8</v>
      </c>
      <c r="AG3" s="39">
        <f>'Project Info'!F9</f>
        <v>0</v>
      </c>
      <c r="AH3" s="279"/>
    </row>
    <row r="4" spans="1:34" s="12" customFormat="1" ht="32.25" customHeight="1" x14ac:dyDescent="0.3">
      <c r="A4" s="142"/>
      <c r="B4" s="141"/>
      <c r="C4" s="142"/>
      <c r="D4" s="39"/>
      <c r="E4" s="146"/>
      <c r="F4" s="39"/>
      <c r="G4" s="92"/>
      <c r="H4" s="194"/>
      <c r="I4" s="244"/>
      <c r="J4" s="40"/>
      <c r="K4" s="142"/>
      <c r="L4" s="141"/>
      <c r="M4" s="142"/>
      <c r="N4" s="39"/>
      <c r="O4" s="146"/>
      <c r="P4" s="39"/>
      <c r="Q4" s="13"/>
      <c r="R4" s="19"/>
      <c r="S4" s="55"/>
      <c r="T4" s="39"/>
      <c r="U4" s="53"/>
      <c r="V4" s="59"/>
      <c r="W4" s="55"/>
      <c r="X4" s="55"/>
      <c r="Y4" s="55"/>
      <c r="Z4" s="62" t="s">
        <v>11</v>
      </c>
      <c r="AA4" s="65">
        <f>'Project Info'!F13</f>
        <v>0</v>
      </c>
      <c r="AB4" s="25"/>
      <c r="AC4" s="13"/>
      <c r="AD4" s="39"/>
      <c r="AE4" s="39"/>
      <c r="AF4" s="62" t="s">
        <v>8</v>
      </c>
      <c r="AG4" s="39">
        <f>'Project Info'!F10</f>
        <v>0</v>
      </c>
      <c r="AH4" s="279"/>
    </row>
    <row r="5" spans="1:34" s="9" customFormat="1" ht="30" customHeight="1" x14ac:dyDescent="0.3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14"/>
      <c r="R5" s="20"/>
      <c r="S5" s="55"/>
      <c r="T5" s="37"/>
      <c r="U5" s="53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26"/>
      <c r="AC5" s="14"/>
      <c r="AD5" s="53" t="s">
        <v>9</v>
      </c>
      <c r="AE5" s="267">
        <f>'Project Info'!C7</f>
        <v>0</v>
      </c>
      <c r="AF5" s="62" t="s">
        <v>8</v>
      </c>
      <c r="AG5" s="277">
        <f>'Project Info'!F11</f>
        <v>0</v>
      </c>
      <c r="AH5" s="280"/>
    </row>
    <row r="6" spans="1:34" s="9" customFormat="1" ht="30" customHeight="1" x14ac:dyDescent="0.3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14"/>
      <c r="R6" s="20"/>
      <c r="S6" s="55"/>
      <c r="T6" s="55"/>
      <c r="U6" s="55"/>
      <c r="V6" s="55"/>
      <c r="W6" s="55"/>
      <c r="X6" s="55"/>
      <c r="Y6" s="55"/>
      <c r="Z6" s="53"/>
      <c r="AA6" s="55"/>
      <c r="AB6" s="25"/>
      <c r="AC6" s="14"/>
      <c r="AD6" s="53"/>
      <c r="AE6" s="53"/>
      <c r="AF6" s="55"/>
      <c r="AG6" s="39"/>
    </row>
    <row r="7" spans="1:34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27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4" ht="30" customHeight="1" x14ac:dyDescent="0.35">
      <c r="A8" s="152"/>
      <c r="B8" s="157"/>
      <c r="C8" s="157"/>
      <c r="D8" s="154"/>
      <c r="E8" s="155"/>
      <c r="F8" s="158"/>
      <c r="G8" s="204">
        <f t="shared" ref="G8:H9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124"/>
      <c r="U8" s="125"/>
      <c r="V8" s="173" t="s">
        <v>37</v>
      </c>
      <c r="W8" s="70" t="s">
        <v>38</v>
      </c>
      <c r="X8" s="173" t="s">
        <v>39</v>
      </c>
      <c r="Y8" s="70" t="s">
        <v>40</v>
      </c>
      <c r="Z8" s="70" t="s">
        <v>41</v>
      </c>
      <c r="AA8" s="70" t="s">
        <v>42</v>
      </c>
      <c r="AB8" s="27"/>
      <c r="AD8" s="37"/>
      <c r="AE8" s="37"/>
      <c r="AF8" s="37"/>
      <c r="AG8" s="282"/>
    </row>
    <row r="9" spans="1:34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55"/>
      <c r="U9" s="128"/>
      <c r="V9" s="174" t="s">
        <v>44</v>
      </c>
      <c r="W9" s="76" t="s">
        <v>45</v>
      </c>
      <c r="X9" s="174" t="s">
        <v>46</v>
      </c>
      <c r="Y9" s="76" t="s">
        <v>45</v>
      </c>
      <c r="Z9" s="76" t="s">
        <v>47</v>
      </c>
      <c r="AA9" s="76" t="s">
        <v>48</v>
      </c>
      <c r="AB9" s="27"/>
      <c r="AE9" s="268" t="s">
        <v>49</v>
      </c>
      <c r="AF9" s="77" t="s">
        <v>24</v>
      </c>
      <c r="AG9" s="283">
        <f>AA3</f>
        <v>1</v>
      </c>
    </row>
    <row r="10" spans="1:34" ht="30" customHeight="1" x14ac:dyDescent="0.3">
      <c r="A10" s="159"/>
      <c r="B10" s="157"/>
      <c r="C10" s="157"/>
      <c r="D10" s="154"/>
      <c r="E10" s="155"/>
      <c r="F10" s="158"/>
      <c r="G10" s="204">
        <f t="shared" ref="G10:H10" si="2">S15</f>
        <v>4</v>
      </c>
      <c r="H10" s="205" t="str">
        <f t="shared" si="2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00" t="s">
        <v>50</v>
      </c>
      <c r="U10" s="301"/>
      <c r="V10" s="174" t="s">
        <v>51</v>
      </c>
      <c r="W10" s="76" t="s">
        <v>52</v>
      </c>
      <c r="X10" s="174" t="s">
        <v>53</v>
      </c>
      <c r="Y10" s="76" t="s">
        <v>54</v>
      </c>
      <c r="Z10" s="76" t="s">
        <v>55</v>
      </c>
      <c r="AA10" s="76" t="s">
        <v>56</v>
      </c>
      <c r="AB10" s="27"/>
      <c r="AE10" s="269" t="s">
        <v>57</v>
      </c>
      <c r="AF10" s="55"/>
      <c r="AG10" s="55"/>
    </row>
    <row r="11" spans="1:34" ht="30" customHeight="1" x14ac:dyDescent="0.3">
      <c r="A11" s="159"/>
      <c r="B11" s="157"/>
      <c r="C11" s="157"/>
      <c r="D11" s="154"/>
      <c r="E11" s="155"/>
      <c r="F11" s="158"/>
      <c r="G11" s="204">
        <f t="shared" ref="G11:H11" si="3">S16</f>
        <v>5</v>
      </c>
      <c r="H11" s="205" t="str">
        <f t="shared" si="3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S11" s="78"/>
      <c r="T11" s="129"/>
      <c r="U11" s="114"/>
      <c r="V11" s="175" t="s">
        <v>58</v>
      </c>
      <c r="W11" s="82" t="s">
        <v>59</v>
      </c>
      <c r="X11" s="175" t="s">
        <v>45</v>
      </c>
      <c r="Y11" s="82" t="s">
        <v>30</v>
      </c>
      <c r="Z11" s="82" t="s">
        <v>60</v>
      </c>
      <c r="AA11" s="83" t="s">
        <v>61</v>
      </c>
      <c r="AB11" s="28"/>
      <c r="AE11" s="269" t="s">
        <v>62</v>
      </c>
      <c r="AF11" s="77" t="s">
        <v>63</v>
      </c>
    </row>
    <row r="12" spans="1:34" ht="30" customHeight="1" x14ac:dyDescent="0.3">
      <c r="A12" s="152"/>
      <c r="B12" s="157"/>
      <c r="C12" s="157"/>
      <c r="D12" s="154"/>
      <c r="E12" s="155"/>
      <c r="F12" s="158"/>
      <c r="G12" s="204">
        <f t="shared" ref="G12:H12" si="4">S17</f>
        <v>6</v>
      </c>
      <c r="H12" s="205" t="str">
        <f t="shared" si="4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S12" s="130">
        <v>1</v>
      </c>
      <c r="T12" s="86" t="s">
        <v>64</v>
      </c>
      <c r="U12" s="80"/>
      <c r="V12" s="87"/>
      <c r="W12" s="88">
        <f>SUMIF(F7:F79,1,E7:E79)</f>
        <v>0</v>
      </c>
      <c r="X12" s="87"/>
      <c r="Y12" s="88">
        <f>W12+X12</f>
        <v>0</v>
      </c>
      <c r="Z12" s="88">
        <f>V12-Y12</f>
        <v>0</v>
      </c>
      <c r="AA12" s="88">
        <f>SUMIF(P7:P79,1,O7:O79)</f>
        <v>0</v>
      </c>
      <c r="AB12" s="29"/>
      <c r="AE12" s="270" t="s">
        <v>65</v>
      </c>
      <c r="AF12" s="55"/>
      <c r="AG12" s="55"/>
    </row>
    <row r="13" spans="1:34" ht="30" customHeight="1" x14ac:dyDescent="0.3">
      <c r="A13" s="152"/>
      <c r="B13" s="157"/>
      <c r="C13" s="157"/>
      <c r="D13" s="154"/>
      <c r="E13" s="155"/>
      <c r="F13" s="158"/>
      <c r="G13" s="204">
        <f t="shared" ref="G13:H13" si="5">S18</f>
        <v>7</v>
      </c>
      <c r="H13" s="205" t="str">
        <f t="shared" si="5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S13" s="130">
        <v>2</v>
      </c>
      <c r="T13" s="86" t="s">
        <v>66</v>
      </c>
      <c r="U13" s="90"/>
      <c r="V13" s="87"/>
      <c r="W13" s="88">
        <f>SUMIF(F7:F79,2,E7:E79)</f>
        <v>0</v>
      </c>
      <c r="X13" s="87"/>
      <c r="Y13" s="88">
        <f t="shared" ref="Y13:Y44" si="6">W13+X13</f>
        <v>0</v>
      </c>
      <c r="Z13" s="88">
        <f t="shared" ref="Z13:Z44" si="7">V13-Y13</f>
        <v>0</v>
      </c>
      <c r="AA13" s="88">
        <f>SUMIF(P7:P79,2,O7:O79)</f>
        <v>0</v>
      </c>
      <c r="AB13" s="29"/>
    </row>
    <row r="14" spans="1:34" ht="30" customHeight="1" x14ac:dyDescent="0.35">
      <c r="A14" s="159"/>
      <c r="B14" s="157"/>
      <c r="C14" s="157"/>
      <c r="D14" s="154"/>
      <c r="E14" s="155"/>
      <c r="F14" s="158"/>
      <c r="G14" s="204">
        <f t="shared" ref="G14:H14" si="8">S19</f>
        <v>8</v>
      </c>
      <c r="H14" s="205" t="str">
        <f t="shared" si="8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S14" s="130">
        <v>3</v>
      </c>
      <c r="T14" s="86" t="s">
        <v>67</v>
      </c>
      <c r="U14" s="90"/>
      <c r="V14" s="87"/>
      <c r="W14" s="88">
        <f>SUMIF(F7:F79,3,E7:E79)</f>
        <v>0</v>
      </c>
      <c r="X14" s="87"/>
      <c r="Y14" s="88">
        <f t="shared" si="6"/>
        <v>0</v>
      </c>
      <c r="Z14" s="88">
        <f t="shared" si="7"/>
        <v>0</v>
      </c>
      <c r="AA14" s="88">
        <f>SUMIF(P7:P79,3,O7:O79)</f>
        <v>0</v>
      </c>
      <c r="AB14" s="29"/>
      <c r="AD14" s="91" t="s">
        <v>68</v>
      </c>
      <c r="AF14" s="284">
        <f>AA88</f>
        <v>0</v>
      </c>
    </row>
    <row r="15" spans="1:34" ht="30" customHeight="1" x14ac:dyDescent="0.35">
      <c r="A15" s="159"/>
      <c r="B15" s="157"/>
      <c r="C15" s="157"/>
      <c r="D15" s="154"/>
      <c r="E15" s="155"/>
      <c r="F15" s="158"/>
      <c r="G15" s="204">
        <f t="shared" ref="G15:H15" si="9">S20</f>
        <v>9</v>
      </c>
      <c r="H15" s="205" t="str">
        <f t="shared" si="9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S15" s="130">
        <v>4</v>
      </c>
      <c r="T15" s="86" t="s">
        <v>69</v>
      </c>
      <c r="U15" s="90"/>
      <c r="V15" s="87"/>
      <c r="W15" s="88">
        <f>SUMIF(F7:F79,4,E7:E79)</f>
        <v>0</v>
      </c>
      <c r="X15" s="87"/>
      <c r="Y15" s="88">
        <f t="shared" si="6"/>
        <v>0</v>
      </c>
      <c r="Z15" s="88">
        <f t="shared" si="7"/>
        <v>0</v>
      </c>
      <c r="AA15" s="88">
        <f>SUMIF(P7:P79,4,O7:O79)</f>
        <v>0</v>
      </c>
      <c r="AB15" s="29"/>
      <c r="AE15" s="55" t="s">
        <v>70</v>
      </c>
      <c r="AF15" s="285"/>
    </row>
    <row r="16" spans="1:34" ht="30" customHeight="1" x14ac:dyDescent="0.35">
      <c r="A16" s="152"/>
      <c r="B16" s="157"/>
      <c r="C16" s="157"/>
      <c r="D16" s="154"/>
      <c r="E16" s="155"/>
      <c r="F16" s="158"/>
      <c r="G16" s="204">
        <f t="shared" ref="G16:H16" si="10">S21</f>
        <v>10</v>
      </c>
      <c r="H16" s="205" t="str">
        <f t="shared" si="1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S16" s="130">
        <v>5</v>
      </c>
      <c r="T16" s="86" t="s">
        <v>71</v>
      </c>
      <c r="U16" s="90"/>
      <c r="V16" s="87"/>
      <c r="W16" s="88">
        <f>SUMIF(F7:F79,5,E7:E79)</f>
        <v>0</v>
      </c>
      <c r="X16" s="87"/>
      <c r="Y16" s="88">
        <f t="shared" si="6"/>
        <v>0</v>
      </c>
      <c r="Z16" s="88">
        <f t="shared" si="7"/>
        <v>0</v>
      </c>
      <c r="AA16" s="88">
        <f>SUMIF(P7:P79,5,O7:O79)</f>
        <v>0</v>
      </c>
      <c r="AB16" s="29"/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ref="G17:H17" si="11">S22</f>
        <v>11</v>
      </c>
      <c r="H17" s="205" t="str">
        <f t="shared" si="11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S17" s="130">
        <v>6</v>
      </c>
      <c r="T17" s="86" t="s">
        <v>71</v>
      </c>
      <c r="U17" s="90"/>
      <c r="V17" s="87"/>
      <c r="W17" s="88">
        <f>SUMIF(F7:F79,6,E7:E79)</f>
        <v>0</v>
      </c>
      <c r="X17" s="87"/>
      <c r="Y17" s="88">
        <f t="shared" si="6"/>
        <v>0</v>
      </c>
      <c r="Z17" s="88">
        <f t="shared" si="7"/>
        <v>0</v>
      </c>
      <c r="AA17" s="88">
        <f>SUMIF(P7:P79,6,O7:O79)</f>
        <v>0</v>
      </c>
      <c r="AB17" s="29"/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ref="G18:H18" si="12">S23</f>
        <v>12</v>
      </c>
      <c r="H18" s="205" t="str">
        <f t="shared" si="12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S18" s="130">
        <v>7</v>
      </c>
      <c r="T18" s="86" t="s">
        <v>71</v>
      </c>
      <c r="U18" s="90"/>
      <c r="V18" s="87"/>
      <c r="W18" s="88">
        <f>SUMIF(F7:F79,7,E7:E79)</f>
        <v>0</v>
      </c>
      <c r="X18" s="87"/>
      <c r="Y18" s="88">
        <f t="shared" si="6"/>
        <v>0</v>
      </c>
      <c r="Z18" s="88">
        <f t="shared" si="7"/>
        <v>0</v>
      </c>
      <c r="AA18" s="88">
        <f>SUMIF(P7:P79,7,O7:O79)</f>
        <v>0</v>
      </c>
      <c r="AB18" s="29"/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ref="G19:H19" si="13">S24</f>
        <v>13</v>
      </c>
      <c r="H19" s="205" t="str">
        <f t="shared" si="13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S19" s="130">
        <v>8</v>
      </c>
      <c r="T19" s="86" t="s">
        <v>71</v>
      </c>
      <c r="U19" s="90"/>
      <c r="V19" s="87"/>
      <c r="W19" s="88">
        <f>SUMIF(F7:F79,8,E7:E79)</f>
        <v>0</v>
      </c>
      <c r="X19" s="87"/>
      <c r="Y19" s="88">
        <f t="shared" si="6"/>
        <v>0</v>
      </c>
      <c r="Z19" s="88">
        <f t="shared" si="7"/>
        <v>0</v>
      </c>
      <c r="AA19" s="88">
        <f>SUMIF(P7:P79,8,O7:O79)</f>
        <v>0</v>
      </c>
      <c r="AB19" s="29"/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ref="G20:H20" si="14">S25</f>
        <v>14</v>
      </c>
      <c r="H20" s="205" t="str">
        <f t="shared" si="14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S20" s="130">
        <v>9</v>
      </c>
      <c r="T20" s="86" t="s">
        <v>71</v>
      </c>
      <c r="U20" s="90"/>
      <c r="V20" s="87"/>
      <c r="W20" s="88">
        <f>SUMIF(F7:F79,9,E7:E79)</f>
        <v>0</v>
      </c>
      <c r="X20" s="87"/>
      <c r="Y20" s="88">
        <f t="shared" si="6"/>
        <v>0</v>
      </c>
      <c r="Z20" s="88">
        <f t="shared" si="7"/>
        <v>0</v>
      </c>
      <c r="AA20" s="88">
        <f>SUMIF(P7:P79,9,O7:O79)</f>
        <v>0</v>
      </c>
      <c r="AB20" s="29"/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ref="G21:H21" si="15">S26</f>
        <v>15</v>
      </c>
      <c r="H21" s="205" t="str">
        <f t="shared" si="15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S21" s="130">
        <v>10</v>
      </c>
      <c r="T21" s="86" t="s">
        <v>71</v>
      </c>
      <c r="U21" s="90"/>
      <c r="V21" s="87"/>
      <c r="W21" s="88">
        <f>SUMIF(F7:F79,10,E7:E79)</f>
        <v>0</v>
      </c>
      <c r="X21" s="87"/>
      <c r="Y21" s="88">
        <f t="shared" si="6"/>
        <v>0</v>
      </c>
      <c r="Z21" s="88">
        <f t="shared" si="7"/>
        <v>0</v>
      </c>
      <c r="AA21" s="88">
        <f>SUMIF(P7:P79,10,O7:O79)</f>
        <v>0</v>
      </c>
      <c r="AB21" s="29"/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ref="G22:H22" si="16">S27</f>
        <v>16</v>
      </c>
      <c r="H22" s="205" t="str">
        <f t="shared" si="16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S22" s="130">
        <v>11</v>
      </c>
      <c r="T22" s="86" t="s">
        <v>71</v>
      </c>
      <c r="U22" s="90"/>
      <c r="V22" s="87"/>
      <c r="W22" s="88">
        <f>SUMIF(F7:F79,11,E7:E79)</f>
        <v>0</v>
      </c>
      <c r="X22" s="87"/>
      <c r="Y22" s="88">
        <f t="shared" si="6"/>
        <v>0</v>
      </c>
      <c r="Z22" s="88">
        <f t="shared" si="7"/>
        <v>0</v>
      </c>
      <c r="AA22" s="88">
        <f>SUMIF(P7:P79,11,O7:O79)</f>
        <v>0</v>
      </c>
      <c r="AB22" s="29"/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ref="G23:H23" si="17">S28</f>
        <v>17</v>
      </c>
      <c r="H23" s="205" t="str">
        <f t="shared" si="17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S23" s="130">
        <v>12</v>
      </c>
      <c r="T23" s="86" t="s">
        <v>71</v>
      </c>
      <c r="U23" s="90"/>
      <c r="V23" s="87"/>
      <c r="W23" s="88">
        <f>SUMIF(F7:F79,12,E7:E79)</f>
        <v>0</v>
      </c>
      <c r="X23" s="87"/>
      <c r="Y23" s="88">
        <f t="shared" si="6"/>
        <v>0</v>
      </c>
      <c r="Z23" s="88">
        <f t="shared" si="7"/>
        <v>0</v>
      </c>
      <c r="AA23" s="88">
        <f>SUMIF(P7:P79,12,O7:O79)</f>
        <v>0</v>
      </c>
      <c r="AB23" s="29"/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ref="G24:I39" si="18">S29</f>
        <v>18</v>
      </c>
      <c r="H24" s="205" t="str">
        <f t="shared" si="18"/>
        <v>Other Contracts</v>
      </c>
      <c r="I24" s="247">
        <f t="shared" si="18"/>
        <v>0</v>
      </c>
      <c r="K24" s="159"/>
      <c r="L24" s="157"/>
      <c r="M24" s="157"/>
      <c r="N24" s="154"/>
      <c r="O24" s="155"/>
      <c r="P24" s="158"/>
      <c r="S24" s="130">
        <v>13</v>
      </c>
      <c r="T24" s="86" t="s">
        <v>71</v>
      </c>
      <c r="U24" s="90"/>
      <c r="V24" s="87"/>
      <c r="W24" s="88">
        <f>SUMIF(F7:F79,13,E7:E79)</f>
        <v>0</v>
      </c>
      <c r="X24" s="87"/>
      <c r="Y24" s="88">
        <f t="shared" si="6"/>
        <v>0</v>
      </c>
      <c r="Z24" s="88">
        <f t="shared" si="7"/>
        <v>0</v>
      </c>
      <c r="AA24" s="88">
        <f>SUMIF(P7:P79,13,O7:O79)</f>
        <v>0</v>
      </c>
      <c r="AB24" s="29"/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H25" si="19">S30</f>
        <v>19</v>
      </c>
      <c r="H25" s="205" t="str">
        <f t="shared" si="19"/>
        <v>Other Contracts</v>
      </c>
      <c r="I25" s="247">
        <f t="shared" si="18"/>
        <v>0</v>
      </c>
      <c r="K25" s="159"/>
      <c r="L25" s="157"/>
      <c r="M25" s="157"/>
      <c r="N25" s="154"/>
      <c r="O25" s="155"/>
      <c r="P25" s="158"/>
      <c r="S25" s="130">
        <v>14</v>
      </c>
      <c r="T25" s="86" t="s">
        <v>71</v>
      </c>
      <c r="U25" s="90"/>
      <c r="V25" s="87"/>
      <c r="W25" s="88">
        <f>SUMIF(F7:F79,14,E7:E79)</f>
        <v>0</v>
      </c>
      <c r="X25" s="87"/>
      <c r="Y25" s="88">
        <f t="shared" si="6"/>
        <v>0</v>
      </c>
      <c r="Z25" s="88">
        <f t="shared" si="7"/>
        <v>0</v>
      </c>
      <c r="AA25" s="88">
        <f>SUMIF(P7:P79,14,O7:O79)</f>
        <v>0</v>
      </c>
      <c r="AB25" s="29"/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ref="G26:H26" si="20">S31</f>
        <v>20</v>
      </c>
      <c r="H26" s="205" t="str">
        <f t="shared" si="20"/>
        <v>Other Contracts</v>
      </c>
      <c r="I26" s="247">
        <f t="shared" si="18"/>
        <v>0</v>
      </c>
      <c r="K26" s="159"/>
      <c r="L26" s="157"/>
      <c r="M26" s="157"/>
      <c r="N26" s="154"/>
      <c r="O26" s="155"/>
      <c r="P26" s="158"/>
      <c r="S26" s="130">
        <v>15</v>
      </c>
      <c r="T26" s="86" t="s">
        <v>71</v>
      </c>
      <c r="U26" s="90"/>
      <c r="V26" s="87"/>
      <c r="W26" s="88">
        <f>SUMIF(F7:F79,15,E7:E79)</f>
        <v>0</v>
      </c>
      <c r="X26" s="87"/>
      <c r="Y26" s="88">
        <f t="shared" si="6"/>
        <v>0</v>
      </c>
      <c r="Z26" s="88">
        <f t="shared" si="7"/>
        <v>0</v>
      </c>
      <c r="AA26" s="88">
        <f>SUMIF(P7:P79,15,O7:O79)</f>
        <v>0</v>
      </c>
      <c r="AB26" s="29"/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ref="G27:H27" si="21">S32</f>
        <v>21</v>
      </c>
      <c r="H27" s="205" t="str">
        <f t="shared" si="21"/>
        <v>Other Contracts</v>
      </c>
      <c r="I27" s="247">
        <f t="shared" si="18"/>
        <v>0</v>
      </c>
      <c r="K27" s="159"/>
      <c r="L27" s="157"/>
      <c r="M27" s="157"/>
      <c r="N27" s="154"/>
      <c r="O27" s="155"/>
      <c r="P27" s="158"/>
      <c r="S27" s="130">
        <v>16</v>
      </c>
      <c r="T27" s="86" t="s">
        <v>71</v>
      </c>
      <c r="U27" s="90"/>
      <c r="V27" s="87"/>
      <c r="W27" s="88">
        <f>SUMIF(F7:F79,16,E7:E79)</f>
        <v>0</v>
      </c>
      <c r="X27" s="87"/>
      <c r="Y27" s="88">
        <f t="shared" si="6"/>
        <v>0</v>
      </c>
      <c r="Z27" s="88">
        <f t="shared" si="7"/>
        <v>0</v>
      </c>
      <c r="AA27" s="88">
        <f>SUMIF(P7:P79,16,O7:O79)</f>
        <v>0</v>
      </c>
      <c r="AB27" s="29"/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ref="G28:H28" si="22">S33</f>
        <v>22</v>
      </c>
      <c r="H28" s="205" t="str">
        <f t="shared" si="22"/>
        <v>Other Contracts</v>
      </c>
      <c r="I28" s="247">
        <f t="shared" si="18"/>
        <v>0</v>
      </c>
      <c r="K28" s="159"/>
      <c r="L28" s="157"/>
      <c r="M28" s="157"/>
      <c r="N28" s="154"/>
      <c r="O28" s="155"/>
      <c r="P28" s="158"/>
      <c r="S28" s="130">
        <v>17</v>
      </c>
      <c r="T28" s="86" t="s">
        <v>71</v>
      </c>
      <c r="U28" s="90"/>
      <c r="V28" s="87"/>
      <c r="W28" s="88">
        <f>SUMIF(F7:F79,17,E7:E79)</f>
        <v>0</v>
      </c>
      <c r="X28" s="87"/>
      <c r="Y28" s="88">
        <f t="shared" si="6"/>
        <v>0</v>
      </c>
      <c r="Z28" s="88">
        <f t="shared" si="7"/>
        <v>0</v>
      </c>
      <c r="AA28" s="88">
        <f>SUMIF(P7:P79,17,O7:O79)</f>
        <v>0</v>
      </c>
      <c r="AB28" s="29"/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ref="G29:H29" si="23">S34</f>
        <v>23</v>
      </c>
      <c r="H29" s="205" t="str">
        <f t="shared" si="23"/>
        <v>Other Contracts</v>
      </c>
      <c r="I29" s="247">
        <f t="shared" si="18"/>
        <v>0</v>
      </c>
      <c r="K29" s="159"/>
      <c r="L29" s="157"/>
      <c r="M29" s="157"/>
      <c r="N29" s="154"/>
      <c r="O29" s="155"/>
      <c r="P29" s="158"/>
      <c r="S29" s="130">
        <v>18</v>
      </c>
      <c r="T29" s="86" t="s">
        <v>71</v>
      </c>
      <c r="U29" s="90"/>
      <c r="V29" s="87"/>
      <c r="W29" s="88">
        <f>SUMIF(F7:F79,18,E7:E79)</f>
        <v>0</v>
      </c>
      <c r="X29" s="87"/>
      <c r="Y29" s="88">
        <f t="shared" si="6"/>
        <v>0</v>
      </c>
      <c r="Z29" s="88">
        <f t="shared" si="7"/>
        <v>0</v>
      </c>
      <c r="AA29" s="88">
        <f>SUMIF(P7:P79,18,O7:O79)</f>
        <v>0</v>
      </c>
      <c r="AB29" s="29"/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ref="G30:H30" si="24">S35</f>
        <v>24</v>
      </c>
      <c r="H30" s="205" t="str">
        <f t="shared" si="24"/>
        <v>Other Contracts</v>
      </c>
      <c r="I30" s="247">
        <f t="shared" si="18"/>
        <v>0</v>
      </c>
      <c r="K30" s="159"/>
      <c r="L30" s="157"/>
      <c r="M30" s="157"/>
      <c r="N30" s="154"/>
      <c r="O30" s="155"/>
      <c r="P30" s="158"/>
      <c r="S30" s="130">
        <v>19</v>
      </c>
      <c r="T30" s="86" t="s">
        <v>71</v>
      </c>
      <c r="U30" s="90"/>
      <c r="V30" s="87"/>
      <c r="W30" s="88">
        <f>SUMIF(F7:F79,19,E7:E79)</f>
        <v>0</v>
      </c>
      <c r="X30" s="87"/>
      <c r="Y30" s="88">
        <f t="shared" si="6"/>
        <v>0</v>
      </c>
      <c r="Z30" s="88">
        <f t="shared" si="7"/>
        <v>0</v>
      </c>
      <c r="AA30" s="88">
        <f>SUMIF(P7:P79,19,O7:O79)</f>
        <v>0</v>
      </c>
      <c r="AB30" s="29"/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ref="G31:H31" si="25">S36</f>
        <v>25</v>
      </c>
      <c r="H31" s="205" t="str">
        <f t="shared" si="25"/>
        <v>Other Contracts</v>
      </c>
      <c r="I31" s="247">
        <f t="shared" si="18"/>
        <v>0</v>
      </c>
      <c r="K31" s="159"/>
      <c r="L31" s="157"/>
      <c r="M31" s="157"/>
      <c r="N31" s="154"/>
      <c r="O31" s="155"/>
      <c r="P31" s="158"/>
      <c r="S31" s="130">
        <v>20</v>
      </c>
      <c r="T31" s="86" t="s">
        <v>71</v>
      </c>
      <c r="U31" s="90"/>
      <c r="V31" s="87"/>
      <c r="W31" s="88">
        <f>SUMIF(F7:F79,20,E7:E79)</f>
        <v>0</v>
      </c>
      <c r="X31" s="87"/>
      <c r="Y31" s="88">
        <f t="shared" si="6"/>
        <v>0</v>
      </c>
      <c r="Z31" s="88">
        <f t="shared" si="7"/>
        <v>0</v>
      </c>
      <c r="AA31" s="88">
        <f>SUMIF(P7:P79,20,O7:O79)</f>
        <v>0</v>
      </c>
      <c r="AB31" s="29"/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ref="G32:H32" si="26">S37</f>
        <v>26</v>
      </c>
      <c r="H32" s="205" t="str">
        <f t="shared" si="26"/>
        <v>Other Fees</v>
      </c>
      <c r="I32" s="247">
        <f t="shared" si="18"/>
        <v>0</v>
      </c>
      <c r="K32" s="159"/>
      <c r="L32" s="157"/>
      <c r="M32" s="157"/>
      <c r="N32" s="154"/>
      <c r="O32" s="155"/>
      <c r="P32" s="158"/>
      <c r="S32" s="130">
        <v>21</v>
      </c>
      <c r="T32" s="86" t="s">
        <v>71</v>
      </c>
      <c r="U32" s="90"/>
      <c r="V32" s="87"/>
      <c r="W32" s="88">
        <f>SUMIF(F7:F79,21,E7:E79)</f>
        <v>0</v>
      </c>
      <c r="X32" s="87"/>
      <c r="Y32" s="88">
        <f t="shared" si="6"/>
        <v>0</v>
      </c>
      <c r="Z32" s="88">
        <f t="shared" si="7"/>
        <v>0</v>
      </c>
      <c r="AA32" s="88">
        <f>SUMIF(P7:P79,21,O7:O79)</f>
        <v>0</v>
      </c>
      <c r="AB32" s="29"/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ref="G33:H33" si="27">S38</f>
        <v>27</v>
      </c>
      <c r="H33" s="205" t="str">
        <f t="shared" si="27"/>
        <v>Other Fees</v>
      </c>
      <c r="I33" s="247">
        <f t="shared" si="18"/>
        <v>0</v>
      </c>
      <c r="K33" s="159"/>
      <c r="L33" s="157"/>
      <c r="M33" s="157"/>
      <c r="N33" s="154"/>
      <c r="O33" s="155"/>
      <c r="P33" s="158"/>
      <c r="S33" s="130">
        <v>22</v>
      </c>
      <c r="T33" s="86" t="s">
        <v>71</v>
      </c>
      <c r="U33" s="90"/>
      <c r="V33" s="87"/>
      <c r="W33" s="88">
        <f>SUMIF(F7:F79,22,E7:E79)</f>
        <v>0</v>
      </c>
      <c r="X33" s="87"/>
      <c r="Y33" s="88">
        <f t="shared" si="6"/>
        <v>0</v>
      </c>
      <c r="Z33" s="88">
        <f t="shared" si="7"/>
        <v>0</v>
      </c>
      <c r="AA33" s="88">
        <f>SUMIF(P7:P79,22,O7:O79)</f>
        <v>0</v>
      </c>
      <c r="AB33" s="29"/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ref="G34:H34" si="28">S39</f>
        <v>28</v>
      </c>
      <c r="H34" s="205" t="str">
        <f t="shared" si="28"/>
        <v>Other Fees</v>
      </c>
      <c r="I34" s="247">
        <f t="shared" si="18"/>
        <v>0</v>
      </c>
      <c r="K34" s="159"/>
      <c r="L34" s="157"/>
      <c r="M34" s="157"/>
      <c r="N34" s="154"/>
      <c r="O34" s="155"/>
      <c r="P34" s="158"/>
      <c r="S34" s="130">
        <v>23</v>
      </c>
      <c r="T34" s="86" t="s">
        <v>71</v>
      </c>
      <c r="U34" s="90"/>
      <c r="V34" s="87"/>
      <c r="W34" s="88">
        <f>SUMIF(F7:F79,23,E7:E79)</f>
        <v>0</v>
      </c>
      <c r="X34" s="87"/>
      <c r="Y34" s="88">
        <f t="shared" si="6"/>
        <v>0</v>
      </c>
      <c r="Z34" s="88">
        <f t="shared" si="7"/>
        <v>0</v>
      </c>
      <c r="AA34" s="88">
        <f>SUMIF(P7:P79,23,O7:O79)</f>
        <v>0</v>
      </c>
      <c r="AB34" s="29"/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ref="G35:H35" si="29">S40</f>
        <v>29</v>
      </c>
      <c r="H35" s="205" t="str">
        <f t="shared" si="29"/>
        <v>Other Fees</v>
      </c>
      <c r="I35" s="247">
        <f t="shared" si="18"/>
        <v>0</v>
      </c>
      <c r="K35" s="159"/>
      <c r="L35" s="157"/>
      <c r="M35" s="157"/>
      <c r="N35" s="154"/>
      <c r="O35" s="155"/>
      <c r="P35" s="158"/>
      <c r="S35" s="130">
        <v>24</v>
      </c>
      <c r="T35" s="86" t="s">
        <v>71</v>
      </c>
      <c r="U35" s="90"/>
      <c r="V35" s="87"/>
      <c r="W35" s="88">
        <f>SUMIF(F7:F79,24,E7:E79)</f>
        <v>0</v>
      </c>
      <c r="X35" s="87"/>
      <c r="Y35" s="88">
        <f t="shared" si="6"/>
        <v>0</v>
      </c>
      <c r="Z35" s="88">
        <f t="shared" si="7"/>
        <v>0</v>
      </c>
      <c r="AA35" s="88">
        <f>SUMIF(P7:P79,24,O7:O79)</f>
        <v>0</v>
      </c>
      <c r="AB35" s="29"/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ref="G36:H36" si="30">S41</f>
        <v>30</v>
      </c>
      <c r="H36" s="205" t="str">
        <f t="shared" si="30"/>
        <v>Other Fees</v>
      </c>
      <c r="I36" s="247">
        <f t="shared" si="18"/>
        <v>0</v>
      </c>
      <c r="K36" s="159"/>
      <c r="L36" s="157"/>
      <c r="M36" s="157"/>
      <c r="N36" s="154"/>
      <c r="O36" s="155"/>
      <c r="P36" s="158"/>
      <c r="S36" s="130">
        <v>25</v>
      </c>
      <c r="T36" s="86" t="s">
        <v>71</v>
      </c>
      <c r="U36" s="90"/>
      <c r="V36" s="87"/>
      <c r="W36" s="88">
        <f>SUMIF(F7:F79,25,E7:E79)</f>
        <v>0</v>
      </c>
      <c r="X36" s="87"/>
      <c r="Y36" s="88">
        <f t="shared" si="6"/>
        <v>0</v>
      </c>
      <c r="Z36" s="88">
        <f t="shared" si="7"/>
        <v>0</v>
      </c>
      <c r="AA36" s="88">
        <f>SUMIF(P7:P79,25,O7:O79)</f>
        <v>0</v>
      </c>
      <c r="AB36" s="29"/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ref="G37:H37" si="31">S42</f>
        <v>31</v>
      </c>
      <c r="H37" s="205" t="str">
        <f t="shared" si="31"/>
        <v>Other Fees</v>
      </c>
      <c r="I37" s="247">
        <f t="shared" si="18"/>
        <v>0</v>
      </c>
      <c r="K37" s="159"/>
      <c r="L37" s="157"/>
      <c r="M37" s="157"/>
      <c r="N37" s="154"/>
      <c r="O37" s="155"/>
      <c r="P37" s="158"/>
      <c r="S37" s="130">
        <v>26</v>
      </c>
      <c r="T37" s="86" t="s">
        <v>82</v>
      </c>
      <c r="U37" s="90"/>
      <c r="V37" s="87"/>
      <c r="W37" s="88">
        <f>SUMIF(F7:F79,26,E7:E79)</f>
        <v>0</v>
      </c>
      <c r="X37" s="87"/>
      <c r="Y37" s="88">
        <f t="shared" si="6"/>
        <v>0</v>
      </c>
      <c r="Z37" s="88">
        <f t="shared" si="7"/>
        <v>0</v>
      </c>
      <c r="AA37" s="88">
        <f>SUMIF(P7:P79,26,O7:O79)</f>
        <v>0</v>
      </c>
      <c r="AB37" s="29"/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ref="G38:H38" si="32">S43</f>
        <v>32</v>
      </c>
      <c r="H38" s="205" t="str">
        <f t="shared" si="32"/>
        <v>Other Fees</v>
      </c>
      <c r="I38" s="247">
        <f t="shared" si="18"/>
        <v>0</v>
      </c>
      <c r="K38" s="159"/>
      <c r="L38" s="157"/>
      <c r="M38" s="157"/>
      <c r="N38" s="154"/>
      <c r="O38" s="155"/>
      <c r="P38" s="158"/>
      <c r="S38" s="130">
        <v>27</v>
      </c>
      <c r="T38" s="86" t="s">
        <v>82</v>
      </c>
      <c r="U38" s="90"/>
      <c r="V38" s="87"/>
      <c r="W38" s="88">
        <f>SUMIF(F7:F79,27,E7:E79)</f>
        <v>0</v>
      </c>
      <c r="X38" s="87"/>
      <c r="Y38" s="88">
        <f t="shared" si="6"/>
        <v>0</v>
      </c>
      <c r="Z38" s="88">
        <f t="shared" si="7"/>
        <v>0</v>
      </c>
      <c r="AA38" s="88">
        <f>SUMIF(P7:P79,27,O7:O79)</f>
        <v>0</v>
      </c>
      <c r="AB38" s="29"/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ref="G39:H39" si="33">S44</f>
        <v>33</v>
      </c>
      <c r="H39" s="205" t="str">
        <f t="shared" si="33"/>
        <v>Other Fees</v>
      </c>
      <c r="I39" s="247">
        <f t="shared" si="18"/>
        <v>0</v>
      </c>
      <c r="K39" s="159"/>
      <c r="L39" s="157"/>
      <c r="M39" s="157"/>
      <c r="N39" s="154"/>
      <c r="O39" s="155"/>
      <c r="P39" s="158"/>
      <c r="S39" s="130">
        <v>28</v>
      </c>
      <c r="T39" s="86" t="s">
        <v>82</v>
      </c>
      <c r="U39" s="90"/>
      <c r="V39" s="87"/>
      <c r="W39" s="88">
        <f>SUMIF(F7:F79,28,E7:E79)</f>
        <v>0</v>
      </c>
      <c r="X39" s="87"/>
      <c r="Y39" s="88">
        <f t="shared" si="6"/>
        <v>0</v>
      </c>
      <c r="Z39" s="88">
        <f t="shared" si="7"/>
        <v>0</v>
      </c>
      <c r="AA39" s="88">
        <f>SUMIF(P7:P79,28,O7:O79)</f>
        <v>0</v>
      </c>
      <c r="AB39" s="29"/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ref="G40:I55" si="34">S45</f>
        <v>0</v>
      </c>
      <c r="H40" s="205">
        <f t="shared" si="34"/>
        <v>0</v>
      </c>
      <c r="I40" s="247">
        <f t="shared" si="34"/>
        <v>0</v>
      </c>
      <c r="K40" s="159"/>
      <c r="L40" s="157"/>
      <c r="M40" s="157"/>
      <c r="N40" s="154"/>
      <c r="O40" s="155"/>
      <c r="P40" s="158"/>
      <c r="S40" s="130">
        <v>29</v>
      </c>
      <c r="T40" s="86" t="s">
        <v>82</v>
      </c>
      <c r="U40" s="90"/>
      <c r="V40" s="87"/>
      <c r="W40" s="88">
        <f>SUMIF(F7:F79,29,E7:E79)</f>
        <v>0</v>
      </c>
      <c r="X40" s="87"/>
      <c r="Y40" s="88">
        <f t="shared" si="6"/>
        <v>0</v>
      </c>
      <c r="Z40" s="88">
        <f t="shared" si="7"/>
        <v>0</v>
      </c>
      <c r="AA40" s="88">
        <f>SUMIF(P7:P79,29,O7:O79)</f>
        <v>0</v>
      </c>
      <c r="AB40" s="29"/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H41" si="35">S46</f>
        <v>Cost</v>
      </c>
      <c r="H41" s="205">
        <f t="shared" si="35"/>
        <v>0</v>
      </c>
      <c r="I41" s="247">
        <f t="shared" si="34"/>
        <v>0</v>
      </c>
      <c r="K41" s="159"/>
      <c r="L41" s="157"/>
      <c r="M41" s="157"/>
      <c r="N41" s="154"/>
      <c r="O41" s="155"/>
      <c r="P41" s="158"/>
      <c r="S41" s="130">
        <v>30</v>
      </c>
      <c r="T41" s="86" t="s">
        <v>82</v>
      </c>
      <c r="U41" s="90"/>
      <c r="V41" s="87"/>
      <c r="W41" s="88">
        <f>SUMIF(F7:F79,30,E7:E79)</f>
        <v>0</v>
      </c>
      <c r="X41" s="87"/>
      <c r="Y41" s="88">
        <f t="shared" si="6"/>
        <v>0</v>
      </c>
      <c r="Z41" s="88">
        <f t="shared" si="7"/>
        <v>0</v>
      </c>
      <c r="AA41" s="88">
        <f>SUMIF(P7:P79,30,O7:O79)</f>
        <v>0</v>
      </c>
      <c r="AB41" s="29"/>
      <c r="AE41" s="101"/>
      <c r="AF41" s="92"/>
      <c r="AG41" s="92"/>
    </row>
    <row r="42" spans="1:33" s="12" customFormat="1" ht="30" customHeight="1" x14ac:dyDescent="0.3">
      <c r="A42" s="159"/>
      <c r="B42" s="157"/>
      <c r="C42" s="157"/>
      <c r="D42" s="154"/>
      <c r="E42" s="155"/>
      <c r="F42" s="158"/>
      <c r="G42" s="204" t="str">
        <f t="shared" ref="G42:H42" si="36">S47</f>
        <v>Item</v>
      </c>
      <c r="H42" s="205" t="str">
        <f t="shared" si="36"/>
        <v>Account Name</v>
      </c>
      <c r="I42" s="247">
        <f t="shared" si="34"/>
        <v>0</v>
      </c>
      <c r="J42" s="40"/>
      <c r="K42" s="159"/>
      <c r="L42" s="157"/>
      <c r="M42" s="157"/>
      <c r="N42" s="154"/>
      <c r="O42" s="155"/>
      <c r="P42" s="158"/>
      <c r="Q42" s="13"/>
      <c r="R42" s="19"/>
      <c r="S42" s="130">
        <v>31</v>
      </c>
      <c r="T42" s="86" t="s">
        <v>82</v>
      </c>
      <c r="U42" s="90"/>
      <c r="V42" s="87"/>
      <c r="W42" s="88">
        <f>SUMIF(F7:F79,31,E7:E79)</f>
        <v>0</v>
      </c>
      <c r="X42" s="87"/>
      <c r="Y42" s="88">
        <f t="shared" si="6"/>
        <v>0</v>
      </c>
      <c r="Z42" s="88">
        <f t="shared" si="7"/>
        <v>0</v>
      </c>
      <c r="AA42" s="88">
        <f>SUMIF(P7:P79,31,O7:O79)</f>
        <v>0</v>
      </c>
      <c r="AB42" s="29"/>
      <c r="AC42" s="13"/>
      <c r="AD42" s="39"/>
      <c r="AE42" s="100" t="s">
        <v>8</v>
      </c>
      <c r="AF42" s="92"/>
      <c r="AG42" s="92"/>
    </row>
    <row r="43" spans="1:33" s="12" customFormat="1" ht="30" customHeight="1" x14ac:dyDescent="0.3">
      <c r="A43" s="159"/>
      <c r="B43" s="157"/>
      <c r="C43" s="157"/>
      <c r="D43" s="154"/>
      <c r="E43" s="155"/>
      <c r="F43" s="158"/>
      <c r="G43" s="204">
        <f t="shared" ref="G43:H43" si="37">S48</f>
        <v>0</v>
      </c>
      <c r="H43" s="205">
        <f t="shared" si="37"/>
        <v>0</v>
      </c>
      <c r="I43" s="247">
        <f t="shared" si="34"/>
        <v>0</v>
      </c>
      <c r="J43" s="40"/>
      <c r="K43" s="159"/>
      <c r="L43" s="157"/>
      <c r="M43" s="157"/>
      <c r="N43" s="154"/>
      <c r="O43" s="155"/>
      <c r="P43" s="158"/>
      <c r="Q43" s="13"/>
      <c r="R43" s="19"/>
      <c r="S43" s="130">
        <v>32</v>
      </c>
      <c r="T43" s="86" t="s">
        <v>82</v>
      </c>
      <c r="U43" s="90"/>
      <c r="V43" s="87"/>
      <c r="W43" s="88">
        <f>SUMIF(F7:F79,32,E7:E79)</f>
        <v>0</v>
      </c>
      <c r="X43" s="87"/>
      <c r="Y43" s="88">
        <f t="shared" si="6"/>
        <v>0</v>
      </c>
      <c r="Z43" s="88">
        <f t="shared" si="7"/>
        <v>0</v>
      </c>
      <c r="AA43" s="88">
        <f>SUMIF(P7:P79,32,O7:O79)</f>
        <v>0</v>
      </c>
      <c r="AB43" s="29"/>
      <c r="AC43" s="13"/>
      <c r="AD43" s="39"/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ref="G44:G62" si="38">S49</f>
        <v>38</v>
      </c>
      <c r="H44" s="205" t="str">
        <f t="shared" ref="H44:H62" si="39">T49</f>
        <v>Other Fees</v>
      </c>
      <c r="I44" s="247">
        <f t="shared" si="34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S44" s="130">
        <v>33</v>
      </c>
      <c r="T44" s="86" t="s">
        <v>82</v>
      </c>
      <c r="U44" s="90"/>
      <c r="V44" s="87"/>
      <c r="W44" s="88">
        <f>SUMIF(F7:F79,33,E7:E79)</f>
        <v>0</v>
      </c>
      <c r="X44" s="87"/>
      <c r="Y44" s="88">
        <f t="shared" si="6"/>
        <v>0</v>
      </c>
      <c r="Z44" s="88">
        <f t="shared" si="7"/>
        <v>0</v>
      </c>
      <c r="AA44" s="88">
        <f>SUMIF(P7:P79,33,O7:O79)</f>
        <v>0</v>
      </c>
      <c r="AB44" s="29"/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38"/>
        <v>39</v>
      </c>
      <c r="H45" s="205" t="str">
        <f t="shared" si="39"/>
        <v>Other Fees</v>
      </c>
      <c r="I45" s="247">
        <f t="shared" si="34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173" t="s">
        <v>39</v>
      </c>
      <c r="Y45" s="70" t="s">
        <v>40</v>
      </c>
      <c r="Z45" s="70" t="s">
        <v>41</v>
      </c>
      <c r="AA45" s="70" t="s">
        <v>42</v>
      </c>
      <c r="AB45" s="2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38"/>
        <v>40</v>
      </c>
      <c r="H46" s="205" t="str">
        <f t="shared" si="39"/>
        <v>Other Fees</v>
      </c>
      <c r="I46" s="247">
        <f t="shared" si="34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174" t="s">
        <v>46</v>
      </c>
      <c r="Y46" s="76" t="s">
        <v>45</v>
      </c>
      <c r="Z46" s="76" t="s">
        <v>47</v>
      </c>
      <c r="AA46" s="76" t="s">
        <v>48</v>
      </c>
      <c r="AB46" s="2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38"/>
        <v>41</v>
      </c>
      <c r="H47" s="205" t="str">
        <f t="shared" si="39"/>
        <v>Other Fees</v>
      </c>
      <c r="I47" s="247">
        <f t="shared" si="34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174" t="s">
        <v>53</v>
      </c>
      <c r="Y47" s="76" t="s">
        <v>54</v>
      </c>
      <c r="Z47" s="76" t="s">
        <v>55</v>
      </c>
      <c r="AA47" s="76" t="s">
        <v>56</v>
      </c>
      <c r="AB47" s="2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38"/>
        <v>42</v>
      </c>
      <c r="H48" s="205" t="str">
        <f t="shared" si="39"/>
        <v>Other Fees</v>
      </c>
      <c r="I48" s="247">
        <f t="shared" si="34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175" t="s">
        <v>45</v>
      </c>
      <c r="Y48" s="82" t="s">
        <v>30</v>
      </c>
      <c r="Z48" s="82" t="s">
        <v>60</v>
      </c>
      <c r="AA48" s="83" t="s">
        <v>61</v>
      </c>
      <c r="AB48" s="29"/>
    </row>
    <row r="49" spans="1:33" ht="30" customHeight="1" x14ac:dyDescent="0.3">
      <c r="A49" s="159"/>
      <c r="B49" s="157"/>
      <c r="C49" s="157"/>
      <c r="D49" s="154"/>
      <c r="E49" s="155"/>
      <c r="F49" s="158"/>
      <c r="G49" s="204">
        <f t="shared" si="38"/>
        <v>43</v>
      </c>
      <c r="H49" s="205" t="str">
        <f t="shared" si="39"/>
        <v>Other Fees</v>
      </c>
      <c r="I49" s="247">
        <f t="shared" si="34"/>
        <v>0</v>
      </c>
      <c r="K49" s="159"/>
      <c r="L49" s="157"/>
      <c r="M49" s="157"/>
      <c r="N49" s="154"/>
      <c r="O49" s="155"/>
      <c r="P49" s="158"/>
      <c r="S49" s="130">
        <v>38</v>
      </c>
      <c r="T49" s="86" t="s">
        <v>82</v>
      </c>
      <c r="U49" s="90"/>
      <c r="V49" s="87"/>
      <c r="W49" s="88">
        <f>SUMIF(F7:F79,38,E7:E79)</f>
        <v>0</v>
      </c>
      <c r="X49" s="87"/>
      <c r="Y49" s="88">
        <f t="shared" ref="Y49:Y60" si="40">W49+X49</f>
        <v>0</v>
      </c>
      <c r="Z49" s="88">
        <f t="shared" ref="Z49:Z60" si="41">V49-Y49</f>
        <v>0</v>
      </c>
      <c r="AA49" s="88">
        <f>SUMIF(P7:P79,38,O7:O79)</f>
        <v>0</v>
      </c>
      <c r="AB49" s="29"/>
    </row>
    <row r="50" spans="1:33" ht="30" customHeight="1" x14ac:dyDescent="0.3">
      <c r="A50" s="159"/>
      <c r="B50" s="157"/>
      <c r="C50" s="157"/>
      <c r="D50" s="154"/>
      <c r="E50" s="155"/>
      <c r="F50" s="158"/>
      <c r="G50" s="204">
        <f t="shared" si="38"/>
        <v>44</v>
      </c>
      <c r="H50" s="205" t="str">
        <f t="shared" si="39"/>
        <v>Other Fees</v>
      </c>
      <c r="I50" s="247">
        <f t="shared" si="34"/>
        <v>0</v>
      </c>
      <c r="K50" s="159"/>
      <c r="L50" s="157"/>
      <c r="M50" s="157"/>
      <c r="N50" s="154"/>
      <c r="O50" s="155"/>
      <c r="P50" s="158"/>
      <c r="S50" s="130">
        <v>39</v>
      </c>
      <c r="T50" s="86" t="s">
        <v>82</v>
      </c>
      <c r="U50" s="90"/>
      <c r="V50" s="87"/>
      <c r="W50" s="88">
        <f>SUMIF(F7:F79,39,E7:E79)</f>
        <v>0</v>
      </c>
      <c r="X50" s="87"/>
      <c r="Y50" s="88">
        <f t="shared" si="40"/>
        <v>0</v>
      </c>
      <c r="Z50" s="88">
        <f t="shared" si="41"/>
        <v>0</v>
      </c>
      <c r="AA50" s="88">
        <f>SUMIF(P7:P79,39,O7:O79)</f>
        <v>0</v>
      </c>
      <c r="AB50" s="29"/>
    </row>
    <row r="51" spans="1:33" ht="30" customHeight="1" x14ac:dyDescent="0.3">
      <c r="A51" s="159"/>
      <c r="B51" s="157"/>
      <c r="C51" s="157"/>
      <c r="D51" s="154"/>
      <c r="E51" s="155"/>
      <c r="F51" s="158"/>
      <c r="G51" s="204">
        <f t="shared" si="38"/>
        <v>45</v>
      </c>
      <c r="H51" s="205" t="str">
        <f t="shared" si="39"/>
        <v>Other Fees</v>
      </c>
      <c r="I51" s="247">
        <f t="shared" si="34"/>
        <v>0</v>
      </c>
      <c r="K51" s="159"/>
      <c r="L51" s="157"/>
      <c r="M51" s="157"/>
      <c r="N51" s="154"/>
      <c r="O51" s="155"/>
      <c r="P51" s="158"/>
      <c r="S51" s="130">
        <v>40</v>
      </c>
      <c r="T51" s="86" t="s">
        <v>82</v>
      </c>
      <c r="U51" s="90"/>
      <c r="V51" s="87"/>
      <c r="W51" s="88">
        <f>SUMIF(F7:F79,40,E7:E79)</f>
        <v>0</v>
      </c>
      <c r="X51" s="87"/>
      <c r="Y51" s="88">
        <f t="shared" si="40"/>
        <v>0</v>
      </c>
      <c r="Z51" s="88">
        <f t="shared" si="41"/>
        <v>0</v>
      </c>
      <c r="AA51" s="88">
        <f>SUMIF(P7:P79,40,O7:O79)</f>
        <v>0</v>
      </c>
      <c r="AB51" s="29"/>
    </row>
    <row r="52" spans="1:33" ht="30" customHeight="1" x14ac:dyDescent="0.3">
      <c r="A52" s="159"/>
      <c r="B52" s="157"/>
      <c r="C52" s="157"/>
      <c r="D52" s="154"/>
      <c r="E52" s="155"/>
      <c r="F52" s="158"/>
      <c r="G52" s="204">
        <f t="shared" si="38"/>
        <v>46</v>
      </c>
      <c r="H52" s="205" t="str">
        <f t="shared" si="39"/>
        <v>Other Fees</v>
      </c>
      <c r="I52" s="247">
        <f t="shared" si="34"/>
        <v>0</v>
      </c>
      <c r="K52" s="159"/>
      <c r="L52" s="157"/>
      <c r="M52" s="157"/>
      <c r="N52" s="154"/>
      <c r="O52" s="155"/>
      <c r="P52" s="158"/>
      <c r="S52" s="130">
        <v>41</v>
      </c>
      <c r="T52" s="86" t="s">
        <v>82</v>
      </c>
      <c r="U52" s="90"/>
      <c r="V52" s="87"/>
      <c r="W52" s="88">
        <f>SUMIF(F7:F79,41,E7:E79)</f>
        <v>0</v>
      </c>
      <c r="X52" s="87"/>
      <c r="Y52" s="88">
        <f t="shared" si="40"/>
        <v>0</v>
      </c>
      <c r="Z52" s="88">
        <f t="shared" si="41"/>
        <v>0</v>
      </c>
      <c r="AA52" s="88">
        <f>SUMIF(P7:P79,41,O7:O79)</f>
        <v>0</v>
      </c>
      <c r="AB52" s="29"/>
    </row>
    <row r="53" spans="1:33" s="5" customFormat="1" ht="30" customHeight="1" x14ac:dyDescent="0.3">
      <c r="A53" s="159"/>
      <c r="B53" s="157"/>
      <c r="C53" s="157"/>
      <c r="D53" s="154"/>
      <c r="E53" s="155"/>
      <c r="F53" s="158"/>
      <c r="G53" s="204">
        <f t="shared" si="38"/>
        <v>47</v>
      </c>
      <c r="H53" s="205" t="str">
        <f t="shared" si="39"/>
        <v>Other Fees</v>
      </c>
      <c r="I53" s="247">
        <f t="shared" si="34"/>
        <v>0</v>
      </c>
      <c r="J53" s="40"/>
      <c r="K53" s="159"/>
      <c r="L53" s="157"/>
      <c r="M53" s="157"/>
      <c r="N53" s="154"/>
      <c r="O53" s="155"/>
      <c r="P53" s="158"/>
      <c r="Q53" s="15"/>
      <c r="R53" s="21"/>
      <c r="S53" s="130">
        <v>42</v>
      </c>
      <c r="T53" s="86" t="s">
        <v>82</v>
      </c>
      <c r="U53" s="90"/>
      <c r="V53" s="87"/>
      <c r="W53" s="88">
        <f>SUMIF(F7:F79,42,E7:E79)</f>
        <v>0</v>
      </c>
      <c r="X53" s="87"/>
      <c r="Y53" s="88">
        <f t="shared" si="40"/>
        <v>0</v>
      </c>
      <c r="Z53" s="88">
        <f t="shared" si="41"/>
        <v>0</v>
      </c>
      <c r="AA53" s="88">
        <f>SUMIF(P7:P79,42,O7:O79)</f>
        <v>0</v>
      </c>
      <c r="AB53" s="29"/>
      <c r="AC53" s="15"/>
      <c r="AD53" s="39"/>
      <c r="AE53" s="39"/>
      <c r="AF53" s="39"/>
      <c r="AG53" s="39"/>
    </row>
    <row r="54" spans="1:33" ht="30" customHeight="1" x14ac:dyDescent="0.3">
      <c r="A54" s="159"/>
      <c r="B54" s="157"/>
      <c r="C54" s="157"/>
      <c r="D54" s="154"/>
      <c r="E54" s="155"/>
      <c r="F54" s="158"/>
      <c r="G54" s="204">
        <f t="shared" si="38"/>
        <v>48</v>
      </c>
      <c r="H54" s="205" t="str">
        <f t="shared" si="39"/>
        <v>Other Fees</v>
      </c>
      <c r="I54" s="247">
        <f t="shared" si="34"/>
        <v>0</v>
      </c>
      <c r="K54" s="159"/>
      <c r="L54" s="157"/>
      <c r="M54" s="157"/>
      <c r="N54" s="154"/>
      <c r="O54" s="155"/>
      <c r="P54" s="158"/>
      <c r="S54" s="130">
        <v>43</v>
      </c>
      <c r="T54" s="86" t="s">
        <v>82</v>
      </c>
      <c r="U54" s="90"/>
      <c r="V54" s="87"/>
      <c r="W54" s="88">
        <f>SUMIF(F7:F79,43,E7:E79)</f>
        <v>0</v>
      </c>
      <c r="X54" s="87"/>
      <c r="Y54" s="88">
        <f t="shared" si="40"/>
        <v>0</v>
      </c>
      <c r="Z54" s="88">
        <f t="shared" si="41"/>
        <v>0</v>
      </c>
      <c r="AA54" s="88">
        <f>SUMIF(P7:P79,43,O7:O79)</f>
        <v>0</v>
      </c>
      <c r="AB54" s="29"/>
    </row>
    <row r="55" spans="1:33" ht="30" customHeight="1" x14ac:dyDescent="0.3">
      <c r="A55" s="159"/>
      <c r="B55" s="157"/>
      <c r="C55" s="157"/>
      <c r="D55" s="154"/>
      <c r="E55" s="155"/>
      <c r="F55" s="158"/>
      <c r="G55" s="204">
        <f t="shared" si="38"/>
        <v>49</v>
      </c>
      <c r="H55" s="205" t="str">
        <f t="shared" si="39"/>
        <v>Other Fees</v>
      </c>
      <c r="I55" s="247">
        <f t="shared" si="34"/>
        <v>0</v>
      </c>
      <c r="K55" s="159"/>
      <c r="L55" s="157"/>
      <c r="M55" s="157"/>
      <c r="N55" s="154"/>
      <c r="O55" s="155"/>
      <c r="P55" s="158"/>
      <c r="S55" s="130">
        <v>44</v>
      </c>
      <c r="T55" s="86" t="s">
        <v>82</v>
      </c>
      <c r="U55" s="90"/>
      <c r="V55" s="87"/>
      <c r="W55" s="88">
        <f>SUMIF(F7:F79,44,E7:E79)</f>
        <v>0</v>
      </c>
      <c r="X55" s="87"/>
      <c r="Y55" s="88">
        <f t="shared" si="40"/>
        <v>0</v>
      </c>
      <c r="Z55" s="88">
        <f t="shared" si="41"/>
        <v>0</v>
      </c>
      <c r="AA55" s="88">
        <f>SUMIF(P7:P79,44,O7:O79)</f>
        <v>0</v>
      </c>
      <c r="AB55" s="29"/>
    </row>
    <row r="56" spans="1:33" ht="30" customHeight="1" x14ac:dyDescent="0.3">
      <c r="A56" s="159"/>
      <c r="B56" s="157"/>
      <c r="C56" s="157"/>
      <c r="D56" s="154"/>
      <c r="E56" s="155"/>
      <c r="F56" s="158"/>
      <c r="G56" s="204">
        <f t="shared" si="38"/>
        <v>50</v>
      </c>
      <c r="H56" s="205" t="str">
        <f t="shared" si="39"/>
        <v>Other Fees</v>
      </c>
      <c r="I56" s="247">
        <f t="shared" ref="I56:I62" si="42">U61</f>
        <v>0</v>
      </c>
      <c r="K56" s="159"/>
      <c r="L56" s="157"/>
      <c r="M56" s="157"/>
      <c r="N56" s="154"/>
      <c r="O56" s="155"/>
      <c r="P56" s="158"/>
      <c r="S56" s="130">
        <v>45</v>
      </c>
      <c r="T56" s="86" t="s">
        <v>82</v>
      </c>
      <c r="U56" s="90"/>
      <c r="V56" s="87"/>
      <c r="W56" s="88">
        <f>SUMIF(F7:F79,45,E7:E79)</f>
        <v>0</v>
      </c>
      <c r="X56" s="87"/>
      <c r="Y56" s="88">
        <f t="shared" si="40"/>
        <v>0</v>
      </c>
      <c r="Z56" s="88">
        <f t="shared" si="41"/>
        <v>0</v>
      </c>
      <c r="AA56" s="88">
        <f>SUMIF(P7:P79,45,O7:O79)</f>
        <v>0</v>
      </c>
      <c r="AB56" s="29"/>
    </row>
    <row r="57" spans="1:33" s="12" customFormat="1" ht="30" customHeight="1" x14ac:dyDescent="0.3">
      <c r="A57" s="159"/>
      <c r="B57" s="157"/>
      <c r="C57" s="157"/>
      <c r="D57" s="154"/>
      <c r="E57" s="155"/>
      <c r="F57" s="158"/>
      <c r="G57" s="204">
        <f t="shared" si="38"/>
        <v>51</v>
      </c>
      <c r="H57" s="205" t="str">
        <f t="shared" si="39"/>
        <v>Other Fees</v>
      </c>
      <c r="I57" s="247">
        <f t="shared" si="42"/>
        <v>0</v>
      </c>
      <c r="J57" s="40"/>
      <c r="K57" s="159"/>
      <c r="L57" s="157"/>
      <c r="M57" s="157"/>
      <c r="N57" s="154"/>
      <c r="O57" s="155"/>
      <c r="P57" s="158"/>
      <c r="Q57" s="13"/>
      <c r="R57" s="19"/>
      <c r="S57" s="130">
        <v>46</v>
      </c>
      <c r="T57" s="86" t="s">
        <v>82</v>
      </c>
      <c r="U57" s="90"/>
      <c r="V57" s="87"/>
      <c r="W57" s="88">
        <f>SUMIF(F7:F79,46,E7:E79)</f>
        <v>0</v>
      </c>
      <c r="X57" s="87"/>
      <c r="Y57" s="88">
        <f t="shared" si="40"/>
        <v>0</v>
      </c>
      <c r="Z57" s="88">
        <f t="shared" si="41"/>
        <v>0</v>
      </c>
      <c r="AA57" s="88">
        <f>SUMIF(P7:P79,46,O7:O79)</f>
        <v>0</v>
      </c>
      <c r="AB57" s="29"/>
      <c r="AC57" s="13"/>
      <c r="AD57" s="39"/>
      <c r="AE57" s="39"/>
      <c r="AF57" s="39"/>
      <c r="AG57" s="39"/>
    </row>
    <row r="58" spans="1:33" ht="30" customHeight="1" x14ac:dyDescent="0.3">
      <c r="A58" s="159"/>
      <c r="B58" s="157"/>
      <c r="C58" s="157"/>
      <c r="D58" s="154"/>
      <c r="E58" s="155"/>
      <c r="F58" s="158"/>
      <c r="G58" s="204">
        <f t="shared" si="38"/>
        <v>52</v>
      </c>
      <c r="H58" s="205" t="str">
        <f t="shared" si="39"/>
        <v>Worked Performed by Owner</v>
      </c>
      <c r="I58" s="247">
        <f t="shared" si="42"/>
        <v>0</v>
      </c>
      <c r="K58" s="159"/>
      <c r="L58" s="157"/>
      <c r="M58" s="157"/>
      <c r="N58" s="154"/>
      <c r="O58" s="155"/>
      <c r="P58" s="158"/>
      <c r="S58" s="130">
        <v>47</v>
      </c>
      <c r="T58" s="86" t="s">
        <v>82</v>
      </c>
      <c r="U58" s="90"/>
      <c r="V58" s="87"/>
      <c r="W58" s="88">
        <f>SUMIF(F7:F79,47,E7:E79)</f>
        <v>0</v>
      </c>
      <c r="X58" s="87"/>
      <c r="Y58" s="88">
        <f t="shared" si="40"/>
        <v>0</v>
      </c>
      <c r="Z58" s="88">
        <f t="shared" si="41"/>
        <v>0</v>
      </c>
      <c r="AA58" s="88">
        <f>SUMIF(P7:P79,47,O7:O79)</f>
        <v>0</v>
      </c>
      <c r="AB58" s="29"/>
    </row>
    <row r="59" spans="1:33" ht="30" customHeight="1" x14ac:dyDescent="0.3">
      <c r="A59" s="159"/>
      <c r="B59" s="157"/>
      <c r="C59" s="157"/>
      <c r="D59" s="154"/>
      <c r="E59" s="155"/>
      <c r="F59" s="158"/>
      <c r="G59" s="204">
        <f t="shared" si="38"/>
        <v>53</v>
      </c>
      <c r="H59" s="205" t="str">
        <f t="shared" si="39"/>
        <v>Equipment (Major)</v>
      </c>
      <c r="I59" s="247">
        <f t="shared" si="42"/>
        <v>0</v>
      </c>
      <c r="K59" s="159"/>
      <c r="L59" s="157"/>
      <c r="M59" s="157"/>
      <c r="N59" s="154"/>
      <c r="O59" s="155"/>
      <c r="P59" s="158"/>
      <c r="S59" s="130">
        <v>48</v>
      </c>
      <c r="T59" s="86" t="s">
        <v>82</v>
      </c>
      <c r="U59" s="90"/>
      <c r="V59" s="87"/>
      <c r="W59" s="88">
        <f>SUMIF(F7:F79,48,E7:E79)</f>
        <v>0</v>
      </c>
      <c r="X59" s="87"/>
      <c r="Y59" s="88">
        <f t="shared" si="40"/>
        <v>0</v>
      </c>
      <c r="Z59" s="88">
        <f t="shared" si="41"/>
        <v>0</v>
      </c>
      <c r="AA59" s="88">
        <f>SUMIF(P7:P79,48,O7:O79)</f>
        <v>0</v>
      </c>
      <c r="AB59" s="29"/>
    </row>
    <row r="60" spans="1:33" ht="30" customHeight="1" x14ac:dyDescent="0.3">
      <c r="A60" s="159"/>
      <c r="B60" s="157"/>
      <c r="C60" s="157"/>
      <c r="D60" s="154"/>
      <c r="E60" s="155"/>
      <c r="F60" s="158"/>
      <c r="G60" s="204">
        <f t="shared" si="38"/>
        <v>54</v>
      </c>
      <c r="H60" s="205" t="str">
        <f t="shared" si="39"/>
        <v>Contingency Fund</v>
      </c>
      <c r="I60" s="247">
        <f t="shared" si="42"/>
        <v>0</v>
      </c>
      <c r="K60" s="159"/>
      <c r="L60" s="157"/>
      <c r="M60" s="157"/>
      <c r="N60" s="154"/>
      <c r="O60" s="155"/>
      <c r="P60" s="158"/>
      <c r="S60" s="130">
        <v>49</v>
      </c>
      <c r="T60" s="86" t="s">
        <v>82</v>
      </c>
      <c r="U60" s="90"/>
      <c r="V60" s="87"/>
      <c r="W60" s="88">
        <f>SUMIF(F7:F79,49,E7:E79)</f>
        <v>0</v>
      </c>
      <c r="X60" s="87"/>
      <c r="Y60" s="88">
        <f t="shared" si="40"/>
        <v>0</v>
      </c>
      <c r="Z60" s="88">
        <f t="shared" si="41"/>
        <v>0</v>
      </c>
      <c r="AA60" s="88">
        <f>SUMIF(P7:P79,49,O7:O79)</f>
        <v>0</v>
      </c>
      <c r="AB60" s="29"/>
    </row>
    <row r="61" spans="1:33" ht="30" customHeight="1" x14ac:dyDescent="0.3">
      <c r="A61" s="159"/>
      <c r="B61" s="157"/>
      <c r="C61" s="157"/>
      <c r="D61" s="154"/>
      <c r="E61" s="155"/>
      <c r="F61" s="158"/>
      <c r="G61" s="204">
        <f t="shared" si="38"/>
        <v>55</v>
      </c>
      <c r="H61" s="205">
        <f t="shared" si="39"/>
        <v>0</v>
      </c>
      <c r="I61" s="247">
        <f t="shared" si="42"/>
        <v>0</v>
      </c>
      <c r="K61" s="159"/>
      <c r="L61" s="157"/>
      <c r="M61" s="157"/>
      <c r="N61" s="154"/>
      <c r="O61" s="155"/>
      <c r="P61" s="158"/>
      <c r="S61" s="130">
        <v>50</v>
      </c>
      <c r="T61" s="86" t="s">
        <v>82</v>
      </c>
      <c r="U61" s="80"/>
      <c r="V61" s="87"/>
      <c r="W61" s="88">
        <f>SUMIF(F7:F79,50,E7:E79)</f>
        <v>0</v>
      </c>
      <c r="X61" s="87"/>
      <c r="Y61" s="88">
        <f t="shared" ref="Y61:Y66" si="43">W61+X61</f>
        <v>0</v>
      </c>
      <c r="Z61" s="88">
        <f t="shared" ref="Z61:Z66" si="44">V61-Y61</f>
        <v>0</v>
      </c>
      <c r="AA61" s="88">
        <f>SUMIF(P7:P79,50,O7:O79)</f>
        <v>0</v>
      </c>
      <c r="AB61" s="29"/>
    </row>
    <row r="62" spans="1:33" ht="30" customHeight="1" x14ac:dyDescent="0.3">
      <c r="A62" s="159"/>
      <c r="B62" s="157"/>
      <c r="C62" s="157"/>
      <c r="D62" s="154"/>
      <c r="E62" s="155"/>
      <c r="F62" s="158"/>
      <c r="G62" s="204">
        <f t="shared" si="38"/>
        <v>56</v>
      </c>
      <c r="H62" s="205">
        <f t="shared" si="39"/>
        <v>0</v>
      </c>
      <c r="I62" s="247">
        <f t="shared" si="42"/>
        <v>0</v>
      </c>
      <c r="K62" s="159"/>
      <c r="L62" s="157"/>
      <c r="M62" s="157"/>
      <c r="N62" s="154"/>
      <c r="O62" s="155"/>
      <c r="P62" s="158"/>
      <c r="S62" s="130">
        <v>51</v>
      </c>
      <c r="T62" s="86" t="s">
        <v>82</v>
      </c>
      <c r="U62" s="80"/>
      <c r="V62" s="87"/>
      <c r="W62" s="88">
        <f>SUMIF(F7:F79,51,E7:E79)</f>
        <v>0</v>
      </c>
      <c r="X62" s="87"/>
      <c r="Y62" s="88">
        <f t="shared" ref="Y62" si="45">W62+X62</f>
        <v>0</v>
      </c>
      <c r="Z62" s="88">
        <f t="shared" ref="Z62" si="46">V62-Y62</f>
        <v>0</v>
      </c>
      <c r="AA62" s="88">
        <f>SUMIF(P7:P79,51,O7:O79)</f>
        <v>0</v>
      </c>
      <c r="AB62" s="29"/>
    </row>
    <row r="63" spans="1:33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S63" s="130">
        <v>52</v>
      </c>
      <c r="T63" s="86" t="s">
        <v>88</v>
      </c>
      <c r="U63" s="80"/>
      <c r="V63" s="87"/>
      <c r="W63" s="88">
        <f>SUMIF(F7:F79,52,E7:E79)</f>
        <v>0</v>
      </c>
      <c r="X63" s="87"/>
      <c r="Y63" s="88">
        <f t="shared" si="43"/>
        <v>0</v>
      </c>
      <c r="Z63" s="88">
        <f t="shared" si="44"/>
        <v>0</v>
      </c>
      <c r="AA63" s="88">
        <f>SUMIF(P7:P79,52,O7:O79)</f>
        <v>0</v>
      </c>
      <c r="AB63" s="29"/>
    </row>
    <row r="64" spans="1:33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S64" s="130">
        <v>53</v>
      </c>
      <c r="T64" s="86" t="s">
        <v>89</v>
      </c>
      <c r="U64" s="80"/>
      <c r="V64" s="87"/>
      <c r="W64" s="88">
        <f>SUMIF(F7:F79,53,E7:E79)</f>
        <v>0</v>
      </c>
      <c r="X64" s="87"/>
      <c r="Y64" s="88">
        <f t="shared" si="43"/>
        <v>0</v>
      </c>
      <c r="Z64" s="88">
        <f t="shared" si="44"/>
        <v>0</v>
      </c>
      <c r="AA64" s="88">
        <f>SUMIF(P7:P79,53,O7:O79)</f>
        <v>0</v>
      </c>
      <c r="AB64" s="29"/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S65" s="130">
        <v>54</v>
      </c>
      <c r="T65" s="165" t="s">
        <v>90</v>
      </c>
      <c r="U65" s="103"/>
      <c r="V65" s="87">
        <v>0</v>
      </c>
      <c r="W65" s="104"/>
      <c r="X65" s="87"/>
      <c r="Y65" s="104">
        <f t="shared" si="43"/>
        <v>0</v>
      </c>
      <c r="Z65" s="88">
        <f t="shared" si="44"/>
        <v>0</v>
      </c>
      <c r="AA65" s="104"/>
      <c r="AB65" s="29"/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S66" s="130">
        <v>55</v>
      </c>
      <c r="T66" s="86"/>
      <c r="U66" s="80"/>
      <c r="V66" s="87"/>
      <c r="W66" s="88">
        <f>SUMIF(F7:F79,55,E7:E79)</f>
        <v>0</v>
      </c>
      <c r="X66" s="87"/>
      <c r="Y66" s="88">
        <f t="shared" si="43"/>
        <v>0</v>
      </c>
      <c r="Z66" s="88">
        <f t="shared" si="44"/>
        <v>0</v>
      </c>
      <c r="AA66" s="88">
        <f>SUMIF(P7:P79,55,O7:O79)</f>
        <v>0</v>
      </c>
      <c r="AB66" s="29"/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S67" s="130">
        <v>56</v>
      </c>
      <c r="T67" s="73"/>
      <c r="U67" s="74"/>
      <c r="V67" s="176"/>
      <c r="W67" s="88">
        <f>SUMIF(F7:F79,56,E7:E79)</f>
        <v>0</v>
      </c>
      <c r="X67" s="261"/>
      <c r="Y67" s="262"/>
      <c r="Z67" s="262"/>
      <c r="AA67" s="262">
        <f>SUMIF(P7:P79,56,O7:O79)</f>
        <v>0</v>
      </c>
      <c r="AB67" s="29"/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S68" s="316" t="s">
        <v>60</v>
      </c>
      <c r="T68" s="317"/>
      <c r="U68" s="166" t="s">
        <v>91</v>
      </c>
      <c r="V68" s="263">
        <f t="shared" ref="V68:AA68" si="47">SUM(V12:V67)</f>
        <v>0</v>
      </c>
      <c r="W68" s="105">
        <f t="shared" si="47"/>
        <v>0</v>
      </c>
      <c r="X68" s="105">
        <f t="shared" si="47"/>
        <v>0</v>
      </c>
      <c r="Y68" s="105">
        <f t="shared" si="47"/>
        <v>0</v>
      </c>
      <c r="Z68" s="105">
        <f t="shared" si="47"/>
        <v>0</v>
      </c>
      <c r="AA68" s="105">
        <f t="shared" si="47"/>
        <v>0</v>
      </c>
      <c r="AB68" s="29"/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108"/>
      <c r="V69" s="109"/>
      <c r="W69" s="109"/>
      <c r="X69" s="109"/>
      <c r="Y69" s="109"/>
      <c r="Z69" s="109"/>
      <c r="AA69" s="109"/>
      <c r="AB69" s="29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167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30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190" t="s">
        <v>93</v>
      </c>
      <c r="V71" s="115"/>
      <c r="W71" s="116"/>
      <c r="X71" s="116"/>
      <c r="Y71" s="116"/>
      <c r="Z71" s="116"/>
      <c r="AA71" s="117"/>
      <c r="AB71" s="30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119" t="e">
        <f>V72/V68</f>
        <v>#DIV/0!</v>
      </c>
      <c r="V72" s="88">
        <f>V68-V74-V73</f>
        <v>0</v>
      </c>
      <c r="W72" s="87">
        <v>0</v>
      </c>
      <c r="X72" s="87">
        <v>0</v>
      </c>
      <c r="Y72" s="88">
        <f t="shared" ref="Y72:Y73" si="48">W72+X72</f>
        <v>0</v>
      </c>
      <c r="Z72" s="88">
        <f>V72-Y72</f>
        <v>0</v>
      </c>
      <c r="AA72" s="87">
        <v>0</v>
      </c>
      <c r="AB72" s="31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S73" s="86" t="s">
        <v>95</v>
      </c>
      <c r="T73" s="114"/>
      <c r="U73" s="119" t="e">
        <f>V73/V68</f>
        <v>#DIV/0!</v>
      </c>
      <c r="V73" s="87">
        <v>0</v>
      </c>
      <c r="W73" s="87">
        <v>0</v>
      </c>
      <c r="X73" s="87">
        <v>0</v>
      </c>
      <c r="Y73" s="88">
        <f t="shared" si="48"/>
        <v>0</v>
      </c>
      <c r="Z73" s="88">
        <f>V73-Y73</f>
        <v>0</v>
      </c>
      <c r="AA73" s="87">
        <v>0</v>
      </c>
      <c r="AB73" s="31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S74" s="120" t="s">
        <v>96</v>
      </c>
      <c r="T74" s="121"/>
      <c r="U74" s="119" t="e">
        <f>V74/V68</f>
        <v>#DIV/0!</v>
      </c>
      <c r="V74" s="87"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32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55"/>
      <c r="V75" s="125"/>
      <c r="W75" s="126" t="s">
        <v>97</v>
      </c>
      <c r="X75" s="127"/>
      <c r="Y75" s="123"/>
      <c r="Z75" s="124"/>
      <c r="AA75" s="128"/>
      <c r="AB75" s="33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129"/>
      <c r="V76" s="114"/>
      <c r="W76" s="130" t="s">
        <v>99</v>
      </c>
      <c r="X76" s="131"/>
      <c r="Y76" s="302" t="s">
        <v>100</v>
      </c>
      <c r="Z76" s="302"/>
      <c r="AA76" s="303"/>
      <c r="AB76" s="28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114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29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114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29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136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29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SUM(E45:E79)</f>
        <v>0</v>
      </c>
      <c r="F80" s="158"/>
      <c r="G80" s="192"/>
      <c r="K80" s="160" t="s">
        <v>107</v>
      </c>
      <c r="L80" s="161"/>
      <c r="M80" s="162"/>
      <c r="N80" s="161"/>
      <c r="O80" s="163">
        <f>SUM(O45:O79)</f>
        <v>0</v>
      </c>
      <c r="P80" s="158"/>
      <c r="S80" s="137"/>
      <c r="T80" s="55"/>
      <c r="U80" s="55"/>
      <c r="V80" s="55"/>
      <c r="W80" s="55"/>
      <c r="X80" s="138"/>
      <c r="Y80" s="45" t="s">
        <v>108</v>
      </c>
      <c r="Z80" s="43"/>
      <c r="AA80" s="87">
        <f>X72</f>
        <v>0</v>
      </c>
      <c r="AB80" s="29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29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33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28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29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29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29"/>
    </row>
    <row r="87" spans="1:28" ht="30" customHeight="1" x14ac:dyDescent="0.3">
      <c r="S87" s="55"/>
      <c r="T87" s="55" t="s">
        <v>24</v>
      </c>
      <c r="U87" s="260">
        <f>AA3</f>
        <v>1</v>
      </c>
      <c r="V87" s="55"/>
      <c r="W87" s="55"/>
      <c r="X87" s="138"/>
      <c r="Y87" s="45" t="s">
        <v>108</v>
      </c>
      <c r="Z87" s="43"/>
      <c r="AA87" s="87">
        <f>X74</f>
        <v>0</v>
      </c>
      <c r="AB87" s="29"/>
    </row>
    <row r="88" spans="1:28" ht="30" customHeight="1" thickBot="1" x14ac:dyDescent="0.35">
      <c r="S88" s="55"/>
      <c r="T88" s="55"/>
      <c r="U88" s="55"/>
      <c r="V88" s="55"/>
      <c r="W88" s="55"/>
      <c r="X88" s="138"/>
      <c r="Y88" s="48" t="s">
        <v>110</v>
      </c>
      <c r="Z88" s="49"/>
      <c r="AA88" s="139">
        <f>AA86-AA87</f>
        <v>0</v>
      </c>
      <c r="AB88" s="29"/>
    </row>
    <row r="89" spans="1:28" ht="30" customHeight="1" thickTop="1" x14ac:dyDescent="0.3">
      <c r="S89" s="55"/>
      <c r="T89" s="55"/>
      <c r="U89" s="55"/>
      <c r="V89" s="55"/>
      <c r="W89" s="55"/>
      <c r="X89" s="55"/>
      <c r="Y89" s="55"/>
      <c r="Z89" s="55"/>
      <c r="AA89" s="55"/>
      <c r="AB89" s="33"/>
    </row>
    <row r="90" spans="1:28" ht="30" customHeight="1" x14ac:dyDescent="0.3">
      <c r="S90" s="55"/>
      <c r="T90" s="55"/>
      <c r="U90" s="55"/>
      <c r="V90" s="55"/>
      <c r="W90" s="55"/>
      <c r="X90" s="55"/>
      <c r="Y90" s="55"/>
      <c r="Z90" s="55"/>
      <c r="AA90" s="91"/>
      <c r="AB90" s="34"/>
    </row>
    <row r="91" spans="1:28" x14ac:dyDescent="0.3">
      <c r="S91" s="55"/>
      <c r="T91" s="55"/>
      <c r="U91" s="55"/>
      <c r="V91" s="55"/>
      <c r="W91" s="55"/>
      <c r="X91" s="55"/>
    </row>
    <row r="92" spans="1:28" x14ac:dyDescent="0.3">
      <c r="S92" s="55"/>
      <c r="T92" s="55"/>
      <c r="U92" s="55"/>
      <c r="V92" s="55"/>
      <c r="W92" s="55"/>
      <c r="X92" s="55"/>
    </row>
    <row r="93" spans="1:28" x14ac:dyDescent="0.3">
      <c r="S93" s="55"/>
      <c r="T93" s="55"/>
      <c r="U93" s="55"/>
      <c r="V93" s="55"/>
      <c r="W93" s="55"/>
      <c r="X93" s="55"/>
    </row>
    <row r="94" spans="1:28" x14ac:dyDescent="0.3">
      <c r="S94" s="55"/>
      <c r="T94" s="55"/>
      <c r="U94" s="55"/>
      <c r="V94" s="55"/>
      <c r="W94" s="55"/>
      <c r="X94" s="55"/>
    </row>
    <row r="95" spans="1:28" x14ac:dyDescent="0.3">
      <c r="S95" s="55"/>
      <c r="T95" s="55"/>
      <c r="U95" s="55"/>
      <c r="V95" s="55"/>
      <c r="W95" s="55"/>
      <c r="X95" s="55"/>
    </row>
    <row r="96" spans="1:28" x14ac:dyDescent="0.3">
      <c r="S96" s="55"/>
      <c r="T96" s="55"/>
      <c r="U96" s="55"/>
      <c r="V96" s="55"/>
      <c r="W96" s="55"/>
      <c r="X96" s="55"/>
    </row>
    <row r="97" spans="15:24" x14ac:dyDescent="0.3">
      <c r="S97" s="55"/>
      <c r="T97" s="55"/>
      <c r="U97" s="55"/>
      <c r="V97" s="55"/>
      <c r="W97" s="55"/>
      <c r="X97" s="55"/>
    </row>
    <row r="98" spans="15:24" x14ac:dyDescent="0.3">
      <c r="S98" s="55"/>
    </row>
    <row r="100" spans="15:24" x14ac:dyDescent="0.3">
      <c r="O100" s="55"/>
    </row>
    <row r="101" spans="15:24" x14ac:dyDescent="0.3">
      <c r="O101" s="55"/>
    </row>
    <row r="102" spans="15:24" x14ac:dyDescent="0.3">
      <c r="O102" s="55"/>
    </row>
    <row r="103" spans="15:24" x14ac:dyDescent="0.3">
      <c r="O103" s="55"/>
    </row>
    <row r="104" spans="15:24" x14ac:dyDescent="0.3">
      <c r="O104" s="55"/>
    </row>
    <row r="105" spans="15:24" x14ac:dyDescent="0.3">
      <c r="O105" s="55"/>
    </row>
    <row r="106" spans="15:24" x14ac:dyDescent="0.3">
      <c r="O106" s="55"/>
    </row>
    <row r="107" spans="15:24" x14ac:dyDescent="0.3">
      <c r="O107" s="55"/>
    </row>
    <row r="108" spans="15:24" x14ac:dyDescent="0.3">
      <c r="O108" s="55"/>
    </row>
    <row r="109" spans="15:24" x14ac:dyDescent="0.3">
      <c r="O109" s="55"/>
    </row>
    <row r="110" spans="15:24" x14ac:dyDescent="0.3">
      <c r="O110" s="55"/>
    </row>
    <row r="111" spans="15:24" x14ac:dyDescent="0.3">
      <c r="O111" s="55"/>
    </row>
    <row r="112" spans="15:24" x14ac:dyDescent="0.3">
      <c r="O112" s="55"/>
    </row>
    <row r="113" spans="15:15" x14ac:dyDescent="0.3">
      <c r="O113" s="55"/>
    </row>
    <row r="114" spans="15:15" x14ac:dyDescent="0.3">
      <c r="O114" s="55"/>
    </row>
    <row r="115" spans="15:15" x14ac:dyDescent="0.3">
      <c r="O115" s="55"/>
    </row>
    <row r="116" spans="15:15" x14ac:dyDescent="0.3">
      <c r="O116" s="55"/>
    </row>
    <row r="117" spans="15:15" x14ac:dyDescent="0.3">
      <c r="O117" s="55"/>
    </row>
    <row r="118" spans="15:15" x14ac:dyDescent="0.3">
      <c r="O118" s="55"/>
    </row>
    <row r="119" spans="15:15" x14ac:dyDescent="0.3">
      <c r="O119" s="55"/>
    </row>
    <row r="120" spans="15:15" x14ac:dyDescent="0.3">
      <c r="O120" s="55"/>
    </row>
    <row r="121" spans="15:15" x14ac:dyDescent="0.3">
      <c r="O121" s="55"/>
    </row>
    <row r="122" spans="15:15" x14ac:dyDescent="0.3">
      <c r="O122" s="55"/>
    </row>
    <row r="123" spans="15:15" x14ac:dyDescent="0.3">
      <c r="O123" s="55"/>
    </row>
    <row r="124" spans="15:15" x14ac:dyDescent="0.3">
      <c r="O124" s="55"/>
    </row>
    <row r="125" spans="15:15" x14ac:dyDescent="0.3">
      <c r="O125" s="55"/>
    </row>
    <row r="126" spans="15:15" x14ac:dyDescent="0.3">
      <c r="O126" s="55"/>
    </row>
    <row r="127" spans="15:15" x14ac:dyDescent="0.3">
      <c r="O127" s="55"/>
    </row>
    <row r="128" spans="15:15" x14ac:dyDescent="0.3">
      <c r="O128" s="55"/>
    </row>
    <row r="129" spans="15:15" x14ac:dyDescent="0.3">
      <c r="O129" s="55"/>
    </row>
    <row r="130" spans="15:15" x14ac:dyDescent="0.3">
      <c r="O130" s="55"/>
    </row>
    <row r="131" spans="15:15" x14ac:dyDescent="0.3">
      <c r="O131" s="55"/>
    </row>
    <row r="132" spans="15:15" x14ac:dyDescent="0.3">
      <c r="O132" s="55"/>
    </row>
    <row r="133" spans="15:15" x14ac:dyDescent="0.3">
      <c r="O133" s="55"/>
    </row>
    <row r="134" spans="15:15" x14ac:dyDescent="0.3">
      <c r="O134" s="55"/>
    </row>
    <row r="135" spans="15:15" x14ac:dyDescent="0.3">
      <c r="O135" s="55"/>
    </row>
  </sheetData>
  <sheetProtection algorithmName="SHA-512" hashValue="kaf7KtwmijCMjLbsq2N94uyG2BAnzzWcoSE/DMP+TlqvQc/TGctipqOvifey1vCpLPm2k3NoXyt03mJKyE9YeQ==" saltValue="5d+uv1maktVmHKOVvpo1rw==" spinCount="100000" sheet="1" objects="1" scenarios="1" selectLockedCells="1"/>
  <mergeCells count="19">
    <mergeCell ref="AF36:AG36"/>
    <mergeCell ref="W77:W79"/>
    <mergeCell ref="S68:T68"/>
    <mergeCell ref="S70:T70"/>
    <mergeCell ref="Y83:AA83"/>
    <mergeCell ref="Y86:Z86"/>
    <mergeCell ref="Y79:Z79"/>
    <mergeCell ref="T10:U10"/>
    <mergeCell ref="Y76:AA76"/>
    <mergeCell ref="C5:C6"/>
    <mergeCell ref="F5:F6"/>
    <mergeCell ref="M5:M6"/>
    <mergeCell ref="P5:P6"/>
    <mergeCell ref="S7:AA7"/>
    <mergeCell ref="C45:C46"/>
    <mergeCell ref="F45:F46"/>
    <mergeCell ref="M45:M46"/>
    <mergeCell ref="P45:P46"/>
    <mergeCell ref="T47:U47"/>
  </mergeCells>
  <phoneticPr fontId="0" type="noConversion"/>
  <conditionalFormatting sqref="W68">
    <cfRule type="cellIs" dxfId="427" priority="1" operator="notEqual">
      <formula>$E$82</formula>
    </cfRule>
    <cfRule type="cellIs" dxfId="426" priority="2" operator="greaterThan">
      <formula>$E$82</formula>
    </cfRule>
    <cfRule type="cellIs" dxfId="425" priority="4" operator="notEqual">
      <formula>$E$82</formula>
    </cfRule>
  </conditionalFormatting>
  <conditionalFormatting sqref="Z12:Z44 Z49:Z68">
    <cfRule type="cellIs" dxfId="424" priority="5" operator="lessThan">
      <formula>0</formula>
    </cfRule>
  </conditionalFormatting>
  <conditionalFormatting sqref="AA68">
    <cfRule type="cellIs" dxfId="423" priority="3" operator="notEqual">
      <formula>$O$82</formula>
    </cfRule>
  </conditionalFormatting>
  <printOptions horizontalCentered="1"/>
  <pageMargins left="0.5" right="0.5" top="1.1499999999999999" bottom="0.5" header="0.63" footer="0.5"/>
  <pageSetup scale="42" orientation="portrait" r:id="rId1"/>
  <headerFooter alignWithMargins="0">
    <oddHeader xml:space="preserve">&amp;L&amp;"Helv,Bold"
&amp;C&amp;"Cambria,Bold"&amp;14
</oddHeader>
  </headerFooter>
  <rowBreaks count="1" manualBreakCount="1">
    <brk id="44" max="33" man="1"/>
  </rowBreaks>
  <colBreaks count="6" manualBreakCount="6">
    <brk id="6" max="89" man="1"/>
    <brk id="10" max="1048575" man="1"/>
    <brk id="16" max="1048575" man="1"/>
    <brk id="18" max="1048575" man="1"/>
    <brk id="27" max="89" man="1"/>
    <brk id="29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664062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" style="50" customWidth="1"/>
    <col min="19" max="19" width="6.21875" style="39" customWidth="1"/>
    <col min="20" max="20" width="31.33203125" style="39" customWidth="1"/>
    <col min="21" max="21" width="17.77734375" style="206" customWidth="1"/>
    <col min="22" max="27" width="18.88671875" style="39" customWidth="1"/>
    <col min="28" max="28" width="24.10937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62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19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62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62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77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07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08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19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90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#18'!V12,"OK","Send in Change Order")</f>
        <v>OK</v>
      </c>
      <c r="S12" s="85">
        <v>1</v>
      </c>
      <c r="T12" s="86" t="str">
        <f>'Request #18'!T12</f>
        <v>Land/Site Grading &amp; Improv.</v>
      </c>
      <c r="U12" s="218">
        <f>'Request #18'!U12</f>
        <v>0</v>
      </c>
      <c r="V12" s="87">
        <f>'Request #18'!V12</f>
        <v>0</v>
      </c>
      <c r="W12" s="88">
        <f>SUMIF(F7:F79,1,E7:E79)</f>
        <v>0</v>
      </c>
      <c r="X12" s="88">
        <f>'Request #18'!Y12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#18'!AA12,"OK","Alert,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#18'!V13,"OK","Send in Change Order")</f>
        <v>OK</v>
      </c>
      <c r="S13" s="85">
        <v>2</v>
      </c>
      <c r="T13" s="86" t="str">
        <f>'Request #18'!T13</f>
        <v xml:space="preserve">General Contract </v>
      </c>
      <c r="U13" s="218">
        <f>'Request #18'!U13</f>
        <v>0</v>
      </c>
      <c r="V13" s="87">
        <f>'Request #18'!V13</f>
        <v>0</v>
      </c>
      <c r="W13" s="88">
        <f>SUMIF(F7:F79,2,E7:E79)</f>
        <v>0</v>
      </c>
      <c r="X13" s="88">
        <f>'Request #18'!Y13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#18'!AA13,"OK","Alert,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#18'!V14,"OK","Send in Change Order")</f>
        <v>OK</v>
      </c>
      <c r="S14" s="85">
        <v>3</v>
      </c>
      <c r="T14" s="86" t="str">
        <f>'Request #18'!T14</f>
        <v>Designer Contract</v>
      </c>
      <c r="U14" s="218">
        <f>'Request #18'!U14</f>
        <v>0</v>
      </c>
      <c r="V14" s="87">
        <f>'Request #18'!V14</f>
        <v>0</v>
      </c>
      <c r="W14" s="88">
        <f>SUMIF(F7:F79,3,E7:E79)</f>
        <v>0</v>
      </c>
      <c r="X14" s="88">
        <f>'Request #18'!Y14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#18'!AA14,"OK","Alert,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#18'!V15,"OK","Send in Change Order")</f>
        <v>OK</v>
      </c>
      <c r="S15" s="85">
        <v>4</v>
      </c>
      <c r="T15" s="86" t="str">
        <f>'Request #18'!T15</f>
        <v>Designer Reimbursables</v>
      </c>
      <c r="U15" s="218">
        <f>'Request #18'!U15</f>
        <v>0</v>
      </c>
      <c r="V15" s="87">
        <f>'Request #18'!V15</f>
        <v>0</v>
      </c>
      <c r="W15" s="88">
        <f>SUMIF(F7:F79,4,E7:E79)</f>
        <v>0</v>
      </c>
      <c r="X15" s="88">
        <f>'Request #18'!Y15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#18'!AA15,"OK","Alert,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#18'!V16,"OK","Send in Change Order")</f>
        <v>OK</v>
      </c>
      <c r="S16" s="85">
        <v>5</v>
      </c>
      <c r="T16" s="86" t="str">
        <f>'Request #18'!T16</f>
        <v>Other Contracts</v>
      </c>
      <c r="U16" s="218">
        <f>'Request #18'!U16</f>
        <v>0</v>
      </c>
      <c r="V16" s="87">
        <f>'Request #18'!V16</f>
        <v>0</v>
      </c>
      <c r="W16" s="88">
        <f>SUMIF(F7:F79,5,E7:E79)</f>
        <v>0</v>
      </c>
      <c r="X16" s="88">
        <f>'Request #18'!Y16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#18'!AA16,"OK","Alert,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#18'!V17,"OK","Send in Change Order")</f>
        <v>OK</v>
      </c>
      <c r="S17" s="85">
        <v>6</v>
      </c>
      <c r="T17" s="86" t="str">
        <f>'Request #18'!T17</f>
        <v>Other Contracts</v>
      </c>
      <c r="U17" s="218">
        <f>'Request #18'!U17</f>
        <v>0</v>
      </c>
      <c r="V17" s="87">
        <f>'Request #18'!V17</f>
        <v>0</v>
      </c>
      <c r="W17" s="88">
        <f>SUMIF(F7:F79,6,E7:E79)</f>
        <v>0</v>
      </c>
      <c r="X17" s="88">
        <f>'Request #18'!Y17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#18'!AA17,"OK","Alert,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#18'!V18,"OK","Send in Change Order")</f>
        <v>OK</v>
      </c>
      <c r="S18" s="85">
        <v>7</v>
      </c>
      <c r="T18" s="86" t="str">
        <f>'Request #18'!T18</f>
        <v>Other Contracts</v>
      </c>
      <c r="U18" s="218">
        <f>'Request #18'!U18</f>
        <v>0</v>
      </c>
      <c r="V18" s="87">
        <f>'Request #18'!V18</f>
        <v>0</v>
      </c>
      <c r="W18" s="88">
        <f>SUMIF(F7:F79,7,E7:E79)</f>
        <v>0</v>
      </c>
      <c r="X18" s="88">
        <f>'Request #18'!Y18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#18'!AA18,"OK","Alert,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#18'!V19,"OK","Send in Change Order")</f>
        <v>OK</v>
      </c>
      <c r="S19" s="85">
        <v>8</v>
      </c>
      <c r="T19" s="86" t="str">
        <f>'Request #18'!T19</f>
        <v>Other Contracts</v>
      </c>
      <c r="U19" s="218">
        <f>'Request #18'!U19</f>
        <v>0</v>
      </c>
      <c r="V19" s="87">
        <f>'Request #18'!V19</f>
        <v>0</v>
      </c>
      <c r="W19" s="88">
        <f>SUMIF(F7:F79,8,E7:E79)</f>
        <v>0</v>
      </c>
      <c r="X19" s="88">
        <f>'Request #18'!Y19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#18'!AA19,"OK","Alert,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#18'!V20,"OK","Send in Change Order")</f>
        <v>OK</v>
      </c>
      <c r="S20" s="85">
        <v>9</v>
      </c>
      <c r="T20" s="86" t="str">
        <f>'Request #18'!T20</f>
        <v>Other Contracts</v>
      </c>
      <c r="U20" s="218">
        <f>'Request #18'!U20</f>
        <v>0</v>
      </c>
      <c r="V20" s="87">
        <f>'Request #18'!V20</f>
        <v>0</v>
      </c>
      <c r="W20" s="88">
        <f>SUMIF(F7:F79,9,E7:E79)</f>
        <v>0</v>
      </c>
      <c r="X20" s="88">
        <f>'Request #18'!Y20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#18'!AA20,"OK","Alert,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#18'!V21,"OK","Send in Change Order")</f>
        <v>OK</v>
      </c>
      <c r="S21" s="85">
        <v>10</v>
      </c>
      <c r="T21" s="86" t="str">
        <f>'Request #18'!T21</f>
        <v>Other Contracts</v>
      </c>
      <c r="U21" s="218">
        <f>'Request #18'!U21</f>
        <v>0</v>
      </c>
      <c r="V21" s="87">
        <f>'Request #18'!V21</f>
        <v>0</v>
      </c>
      <c r="W21" s="88">
        <f>SUMIF(F7:F79,10,E7:E79)</f>
        <v>0</v>
      </c>
      <c r="X21" s="88">
        <f>'Request #18'!Y21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#18'!AA21,"OK","Alert,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#18'!V22,"OK","Send in Change Order")</f>
        <v>OK</v>
      </c>
      <c r="S22" s="85">
        <v>11</v>
      </c>
      <c r="T22" s="86" t="str">
        <f>'Request #18'!T22</f>
        <v>Other Contracts</v>
      </c>
      <c r="U22" s="218">
        <f>'Request #18'!U22</f>
        <v>0</v>
      </c>
      <c r="V22" s="87">
        <f>'Request #18'!V22</f>
        <v>0</v>
      </c>
      <c r="W22" s="88">
        <f>SUMIF(F7:F79,11,E7:E79)</f>
        <v>0</v>
      </c>
      <c r="X22" s="88">
        <f>'Request #18'!Y22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#18'!AA22,"OK","Alert,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#18'!V23,"OK","Send in Change Order")</f>
        <v>OK</v>
      </c>
      <c r="S23" s="85">
        <v>12</v>
      </c>
      <c r="T23" s="86" t="str">
        <f>'Request #18'!T23</f>
        <v>Other Contracts</v>
      </c>
      <c r="U23" s="218">
        <f>'Request #18'!U23</f>
        <v>0</v>
      </c>
      <c r="V23" s="87">
        <f>'Request #18'!V23</f>
        <v>0</v>
      </c>
      <c r="W23" s="88">
        <f>SUMIF(F7:F79,12,E7:E79)</f>
        <v>0</v>
      </c>
      <c r="X23" s="88">
        <f>'Request #18'!Y23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#18'!AA23,"OK","Alert,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#18'!V24,"OK","Send in Change Order")</f>
        <v>OK</v>
      </c>
      <c r="S24" s="85">
        <v>13</v>
      </c>
      <c r="T24" s="86" t="str">
        <f>'Request #18'!T24</f>
        <v>Other Contracts</v>
      </c>
      <c r="U24" s="218">
        <f>'Request #18'!U24</f>
        <v>0</v>
      </c>
      <c r="V24" s="87">
        <f>'Request #18'!V24</f>
        <v>0</v>
      </c>
      <c r="W24" s="88">
        <f>SUMIF(F7:F79,13,E7:E79)</f>
        <v>0</v>
      </c>
      <c r="X24" s="88">
        <f>'Request #18'!Y24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#18'!AA24,"OK","Alert,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#18'!V25,"OK","Send in Change Order")</f>
        <v>OK</v>
      </c>
      <c r="S25" s="85">
        <v>14</v>
      </c>
      <c r="T25" s="86" t="str">
        <f>'Request #18'!T25</f>
        <v>Other Contracts</v>
      </c>
      <c r="U25" s="218">
        <f>'Request #18'!U25</f>
        <v>0</v>
      </c>
      <c r="V25" s="87">
        <f>'Request #18'!V25</f>
        <v>0</v>
      </c>
      <c r="W25" s="88">
        <f>SUMIF(F7:F79,14,E7:E79)</f>
        <v>0</v>
      </c>
      <c r="X25" s="88">
        <f>'Request #18'!Y25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#18'!AA25,"OK","Alert,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#18'!V26,"OK","Send in Change Order")</f>
        <v>OK</v>
      </c>
      <c r="S26" s="85">
        <v>15</v>
      </c>
      <c r="T26" s="86" t="str">
        <f>'Request #18'!T26</f>
        <v>Other Contracts</v>
      </c>
      <c r="U26" s="218">
        <f>'Request #18'!U26</f>
        <v>0</v>
      </c>
      <c r="V26" s="87">
        <f>'Request #18'!V26</f>
        <v>0</v>
      </c>
      <c r="W26" s="88">
        <f>SUMIF(F7:F79,15,E7:E79)</f>
        <v>0</v>
      </c>
      <c r="X26" s="88">
        <f>'Request #18'!Y26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#18'!AA26,"OK","Alert,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#18'!V27,"OK","Send in Change Order")</f>
        <v>OK</v>
      </c>
      <c r="S27" s="85">
        <v>16</v>
      </c>
      <c r="T27" s="86" t="str">
        <f>'Request #18'!T27</f>
        <v>Other Contracts</v>
      </c>
      <c r="U27" s="218">
        <f>'Request #18'!U27</f>
        <v>0</v>
      </c>
      <c r="V27" s="87">
        <f>'Request #18'!V27</f>
        <v>0</v>
      </c>
      <c r="W27" s="88">
        <f>SUMIF(F7:F79,16,E7:E79)</f>
        <v>0</v>
      </c>
      <c r="X27" s="88">
        <f>'Request #18'!Y27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#18'!AA27,"OK","Alert,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#18'!V28,"OK","Send in Change Order")</f>
        <v>OK</v>
      </c>
      <c r="S28" s="85">
        <v>17</v>
      </c>
      <c r="T28" s="86" t="str">
        <f>'Request #18'!T28</f>
        <v>Other Contracts</v>
      </c>
      <c r="U28" s="218">
        <f>'Request #18'!U28</f>
        <v>0</v>
      </c>
      <c r="V28" s="87">
        <f>'Request #18'!V28</f>
        <v>0</v>
      </c>
      <c r="W28" s="88">
        <f>SUMIF(F7:F79,17,E7:E79)</f>
        <v>0</v>
      </c>
      <c r="X28" s="88">
        <f>'Request #18'!Y28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#18'!AA28,"OK","Alert,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#18'!V29,"OK","Send in Change Order")</f>
        <v>OK</v>
      </c>
      <c r="S29" s="85">
        <v>18</v>
      </c>
      <c r="T29" s="86" t="str">
        <f>'Request #18'!T29</f>
        <v>Other Contracts</v>
      </c>
      <c r="U29" s="218">
        <f>'Request #18'!U29</f>
        <v>0</v>
      </c>
      <c r="V29" s="87">
        <f>'Request #18'!V29</f>
        <v>0</v>
      </c>
      <c r="W29" s="88">
        <f>SUMIF(F7:F79,18,E7:E79)</f>
        <v>0</v>
      </c>
      <c r="X29" s="88">
        <f>'Request #18'!Y29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#18'!AA29,"OK","Alert,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#18'!V30,"OK","Send in Change Order")</f>
        <v>OK</v>
      </c>
      <c r="S30" s="85">
        <v>19</v>
      </c>
      <c r="T30" s="86" t="str">
        <f>'Request #18'!T30</f>
        <v>Other Contracts</v>
      </c>
      <c r="U30" s="218">
        <f>'Request #18'!U30</f>
        <v>0</v>
      </c>
      <c r="V30" s="87">
        <f>'Request #18'!V30</f>
        <v>0</v>
      </c>
      <c r="W30" s="88">
        <f>SUMIF(F7:F79,19,E7:E79)</f>
        <v>0</v>
      </c>
      <c r="X30" s="88">
        <f>'Request #18'!Y30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#18'!AA30,"OK","Alert,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#18'!V31,"OK","Send in Change Order")</f>
        <v>OK</v>
      </c>
      <c r="S31" s="85">
        <v>20</v>
      </c>
      <c r="T31" s="86" t="str">
        <f>'Request #18'!T31</f>
        <v>Other Contracts</v>
      </c>
      <c r="U31" s="218">
        <f>'Request #18'!U31</f>
        <v>0</v>
      </c>
      <c r="V31" s="87">
        <f>'Request #18'!V31</f>
        <v>0</v>
      </c>
      <c r="W31" s="88">
        <f>SUMIF(F7:F79,20,E7:E79)</f>
        <v>0</v>
      </c>
      <c r="X31" s="88">
        <f>'Request #18'!Y31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#18'!AA31,"OK","Alert,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#18'!V32,"OK","Send in Change Order")</f>
        <v>OK</v>
      </c>
      <c r="S32" s="85">
        <v>21</v>
      </c>
      <c r="T32" s="86" t="str">
        <f>'Request #18'!T32</f>
        <v>Other Contracts</v>
      </c>
      <c r="U32" s="218">
        <f>'Request #18'!U32</f>
        <v>0</v>
      </c>
      <c r="V32" s="87">
        <f>'Request #18'!V32</f>
        <v>0</v>
      </c>
      <c r="W32" s="88">
        <f>SUMIF(F7:F79,21,E7:E79)</f>
        <v>0</v>
      </c>
      <c r="X32" s="88">
        <f>'Request #18'!Y32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#18'!AA32,"OK","Alert,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#18'!V33,"OK","Send in Change Order")</f>
        <v>OK</v>
      </c>
      <c r="S33" s="85">
        <v>22</v>
      </c>
      <c r="T33" s="86" t="str">
        <f>'Request #18'!T33</f>
        <v>Other Contracts</v>
      </c>
      <c r="U33" s="218">
        <f>'Request #18'!U33</f>
        <v>0</v>
      </c>
      <c r="V33" s="87">
        <f>'Request #18'!V33</f>
        <v>0</v>
      </c>
      <c r="W33" s="88">
        <f>SUMIF(F7:F79,22,E7:E79)</f>
        <v>0</v>
      </c>
      <c r="X33" s="88">
        <f>'Request #18'!Y33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#18'!AA33,"OK","Alert,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#18'!V34,"OK","Send in Change Order")</f>
        <v>OK</v>
      </c>
      <c r="S34" s="85">
        <v>23</v>
      </c>
      <c r="T34" s="86" t="str">
        <f>'Request #18'!T34</f>
        <v>Other Contracts</v>
      </c>
      <c r="U34" s="218">
        <f>'Request #18'!U34</f>
        <v>0</v>
      </c>
      <c r="V34" s="87">
        <f>'Request #18'!V34</f>
        <v>0</v>
      </c>
      <c r="W34" s="88">
        <f>SUMIF(F7:F79,23,E7:E79)</f>
        <v>0</v>
      </c>
      <c r="X34" s="88">
        <f>'Request #18'!Y34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#18'!AA34,"OK","Alert,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#18'!V35,"OK","Send in Change Order")</f>
        <v>OK</v>
      </c>
      <c r="S35" s="85">
        <v>24</v>
      </c>
      <c r="T35" s="86" t="str">
        <f>'Request #18'!T35</f>
        <v>Other Contracts</v>
      </c>
      <c r="U35" s="218">
        <f>'Request #18'!U35</f>
        <v>0</v>
      </c>
      <c r="V35" s="87">
        <f>'Request #18'!V35</f>
        <v>0</v>
      </c>
      <c r="W35" s="88">
        <f>SUMIF(F7:F79,24,E7:E79)</f>
        <v>0</v>
      </c>
      <c r="X35" s="88">
        <f>'Request #18'!Y35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#18'!AA35,"OK","Alert,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#18'!V36,"OK","Send in Change Order")</f>
        <v>OK</v>
      </c>
      <c r="S36" s="85">
        <v>25</v>
      </c>
      <c r="T36" s="86" t="str">
        <f>'Request #18'!T36</f>
        <v>Other Contracts</v>
      </c>
      <c r="U36" s="218">
        <f>'Request #18'!U36</f>
        <v>0</v>
      </c>
      <c r="V36" s="87">
        <f>'Request #18'!V36</f>
        <v>0</v>
      </c>
      <c r="W36" s="88">
        <f>SUMIF(F7:F79,25,E7:E79)</f>
        <v>0</v>
      </c>
      <c r="X36" s="88">
        <f>'Request #18'!Y36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#18'!AA36,"OK","Alert,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#18'!V37,"OK","Send in Change Order")</f>
        <v>OK</v>
      </c>
      <c r="S37" s="85">
        <v>26</v>
      </c>
      <c r="T37" s="86" t="str">
        <f>'Request #18'!T37</f>
        <v>Other Fees</v>
      </c>
      <c r="U37" s="218">
        <f>'Request #18'!U37</f>
        <v>0</v>
      </c>
      <c r="V37" s="87">
        <f>'Request #18'!V37</f>
        <v>0</v>
      </c>
      <c r="W37" s="88">
        <f>SUMIF(F7:F79,26,E7:E79)</f>
        <v>0</v>
      </c>
      <c r="X37" s="88">
        <f>'Request #18'!Y37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#18'!AA37,"OK","Alert,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#18'!V38,"OK","Send in Change Order")</f>
        <v>OK</v>
      </c>
      <c r="S38" s="85">
        <v>27</v>
      </c>
      <c r="T38" s="86" t="str">
        <f>'Request #18'!T38</f>
        <v>Other Fees</v>
      </c>
      <c r="U38" s="218">
        <f>'Request #18'!U38</f>
        <v>0</v>
      </c>
      <c r="V38" s="87">
        <f>'Request #18'!V38</f>
        <v>0</v>
      </c>
      <c r="W38" s="88">
        <f>SUMIF(F7:F79,27,E7:E79)</f>
        <v>0</v>
      </c>
      <c r="X38" s="88">
        <f>'Request #18'!Y38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#18'!AA38,"OK","Alert,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#18'!V39,"OK","Send in Change Order")</f>
        <v>OK</v>
      </c>
      <c r="S39" s="85">
        <v>28</v>
      </c>
      <c r="T39" s="86" t="str">
        <f>'Request #18'!T39</f>
        <v>Other Fees</v>
      </c>
      <c r="U39" s="218">
        <f>'Request #18'!U39</f>
        <v>0</v>
      </c>
      <c r="V39" s="87">
        <f>'Request #18'!V39</f>
        <v>0</v>
      </c>
      <c r="W39" s="88">
        <f>SUMIF(F7:F79,28,E7:E79)</f>
        <v>0</v>
      </c>
      <c r="X39" s="88">
        <f>'Request #18'!Y39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#18'!AA39,"OK","Alert,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#18'!V40,"OK","Send in Change Order")</f>
        <v>OK</v>
      </c>
      <c r="S40" s="85">
        <v>29</v>
      </c>
      <c r="T40" s="86" t="str">
        <f>'Request #18'!T40</f>
        <v>Other Fees</v>
      </c>
      <c r="U40" s="218">
        <f>'Request #18'!U40</f>
        <v>0</v>
      </c>
      <c r="V40" s="87">
        <f>'Request #18'!V40</f>
        <v>0</v>
      </c>
      <c r="W40" s="88">
        <f>SUMIF(F7:F79,29,E7:E79)</f>
        <v>0</v>
      </c>
      <c r="X40" s="88">
        <f>'Request #18'!Y40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#18'!AA40,"OK","Alert,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#18'!V41,"OK","Send in Change Order")</f>
        <v>OK</v>
      </c>
      <c r="S41" s="85">
        <v>30</v>
      </c>
      <c r="T41" s="86" t="str">
        <f>'Request #18'!T41</f>
        <v>Other Fees</v>
      </c>
      <c r="U41" s="218">
        <f>'Request #18'!U41</f>
        <v>0</v>
      </c>
      <c r="V41" s="87">
        <f>'Request #18'!V41</f>
        <v>0</v>
      </c>
      <c r="W41" s="88">
        <f>SUMIF(F7:F79,30,E7:E79)</f>
        <v>0</v>
      </c>
      <c r="X41" s="88">
        <f>'Request #18'!Y41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#18'!AA41,"OK","Alert,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#18'!V42,"OK","Send in Change Order")</f>
        <v>OK</v>
      </c>
      <c r="S42" s="85">
        <v>31</v>
      </c>
      <c r="T42" s="86" t="str">
        <f>'Request #18'!T42</f>
        <v>Other Fees</v>
      </c>
      <c r="U42" s="218">
        <f>'Request #18'!U42</f>
        <v>0</v>
      </c>
      <c r="V42" s="87">
        <f>'Request #18'!V42</f>
        <v>0</v>
      </c>
      <c r="W42" s="88">
        <f>SUMIF(F7:F79,31,E7:E79)</f>
        <v>0</v>
      </c>
      <c r="X42" s="88">
        <f>'Request #18'!Y42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#18'!AA42,"OK","Alert,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#18'!V43,"OK","Send in Change Order")</f>
        <v>OK</v>
      </c>
      <c r="S43" s="85">
        <v>32</v>
      </c>
      <c r="T43" s="86" t="str">
        <f>'Request #18'!T43</f>
        <v>Other Fees</v>
      </c>
      <c r="U43" s="218">
        <f>'Request #18'!U43</f>
        <v>0</v>
      </c>
      <c r="V43" s="87">
        <f>'Request #18'!V43</f>
        <v>0</v>
      </c>
      <c r="W43" s="88">
        <f>SUMIF(F7:F79,32,E7:E79)</f>
        <v>0</v>
      </c>
      <c r="X43" s="88">
        <f>'Request #18'!Y43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#18'!AA43,"OK","Alert,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#18'!V44,"OK","Send in Change Order")</f>
        <v>OK</v>
      </c>
      <c r="S44" s="85">
        <v>33</v>
      </c>
      <c r="T44" s="86" t="str">
        <f>'Request #18'!T44</f>
        <v>Other Fees</v>
      </c>
      <c r="U44" s="218">
        <f>'Request #18'!U44</f>
        <v>0</v>
      </c>
      <c r="V44" s="87">
        <f>'Request #18'!V44</f>
        <v>0</v>
      </c>
      <c r="W44" s="88">
        <f>SUMIF(F7:F79,33,E7:E79)</f>
        <v>0</v>
      </c>
      <c r="X44" s="88">
        <f>'Request #18'!Y44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#18'!AA44,"OK","Alert,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#18'!V49,"OK","Send in Change Order")</f>
        <v>OK</v>
      </c>
      <c r="S49" s="85">
        <v>38</v>
      </c>
      <c r="T49" s="86" t="str">
        <f>'Request #18'!T49</f>
        <v>Other Fees</v>
      </c>
      <c r="U49" s="218">
        <f>'Request #18'!U49</f>
        <v>0</v>
      </c>
      <c r="V49" s="87">
        <f>'Request #18'!V49</f>
        <v>0</v>
      </c>
      <c r="W49" s="88">
        <f>SUMIF(F7:F79,38,E7:E79)</f>
        <v>0</v>
      </c>
      <c r="X49" s="88">
        <f>'Request #18'!Y49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#18'!AA49,"OK","Alert,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#18'!V50,"OK","Send in Change Order")</f>
        <v>OK</v>
      </c>
      <c r="S50" s="85">
        <v>39</v>
      </c>
      <c r="T50" s="86" t="str">
        <f>'Request #18'!T50</f>
        <v>Other Fees</v>
      </c>
      <c r="U50" s="218">
        <f>'Request #18'!U50</f>
        <v>0</v>
      </c>
      <c r="V50" s="87">
        <f>'Request #18'!V50</f>
        <v>0</v>
      </c>
      <c r="W50" s="88">
        <f>SUMIF(F7:F79,39,E7:E79)</f>
        <v>0</v>
      </c>
      <c r="X50" s="88">
        <f>'Request #18'!Y50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#18'!AA50,"OK","Alert,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#18'!V51,"OK","Send in Change Order")</f>
        <v>OK</v>
      </c>
      <c r="S51" s="85">
        <v>40</v>
      </c>
      <c r="T51" s="86" t="str">
        <f>'Request #18'!T51</f>
        <v>Other Fees</v>
      </c>
      <c r="U51" s="218">
        <f>'Request #18'!U51</f>
        <v>0</v>
      </c>
      <c r="V51" s="87">
        <f>'Request #18'!V51</f>
        <v>0</v>
      </c>
      <c r="W51" s="88">
        <f>SUMIF(F7:F79,40,E7:E79)</f>
        <v>0</v>
      </c>
      <c r="X51" s="88">
        <f>'Request #18'!Y51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#18'!AA51,"OK","Alert,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#18'!V52,"OK","Send in Change Order")</f>
        <v>OK</v>
      </c>
      <c r="S52" s="85">
        <v>41</v>
      </c>
      <c r="T52" s="86" t="str">
        <f>'Request #18'!T52</f>
        <v>Other Fees</v>
      </c>
      <c r="U52" s="218">
        <f>'Request #18'!U52</f>
        <v>0</v>
      </c>
      <c r="V52" s="87">
        <f>'Request #18'!V52</f>
        <v>0</v>
      </c>
      <c r="W52" s="88">
        <f>SUMIF(F7:F79,41,E7:E79)</f>
        <v>0</v>
      </c>
      <c r="X52" s="88">
        <f>'Request #18'!Y52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#18'!AA52,"OK","Alert,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#18'!V53,"OK","Send in Change Order")</f>
        <v>OK</v>
      </c>
      <c r="S53" s="85">
        <v>42</v>
      </c>
      <c r="T53" s="86" t="str">
        <f>'Request #18'!T53</f>
        <v>Other Fees</v>
      </c>
      <c r="U53" s="218">
        <f>'Request #18'!U53</f>
        <v>0</v>
      </c>
      <c r="V53" s="87">
        <f>'Request #18'!V53</f>
        <v>0</v>
      </c>
      <c r="W53" s="88">
        <f>SUMIF(F7:F79,42,E7:E79)</f>
        <v>0</v>
      </c>
      <c r="X53" s="88">
        <f>'Request #18'!Y53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#18'!AA53,"OK","Alert,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#18'!V54,"OK","Send in Change Order")</f>
        <v>OK</v>
      </c>
      <c r="S54" s="85">
        <v>43</v>
      </c>
      <c r="T54" s="86" t="str">
        <f>'Request #18'!T54</f>
        <v>Other Fees</v>
      </c>
      <c r="U54" s="218">
        <f>'Request #18'!U54</f>
        <v>0</v>
      </c>
      <c r="V54" s="87">
        <f>'Request #18'!V54</f>
        <v>0</v>
      </c>
      <c r="W54" s="88">
        <f>SUMIF(F7:F79,43,E7:E79)</f>
        <v>0</v>
      </c>
      <c r="X54" s="88">
        <f>'Request #18'!Y54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#18'!AA54,"OK","Alert,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#18'!V55,"OK","Send in Change Order")</f>
        <v>OK</v>
      </c>
      <c r="S55" s="85">
        <v>44</v>
      </c>
      <c r="T55" s="86" t="str">
        <f>'Request #18'!T55</f>
        <v>Other Fees</v>
      </c>
      <c r="U55" s="218">
        <f>'Request #18'!U55</f>
        <v>0</v>
      </c>
      <c r="V55" s="87">
        <f>'Request #18'!V55</f>
        <v>0</v>
      </c>
      <c r="W55" s="88">
        <f>SUMIF(F7:F79,44,E7:E79)</f>
        <v>0</v>
      </c>
      <c r="X55" s="88">
        <f>'Request #18'!Y55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#18'!AA55,"OK","Alert,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#18'!V56,"OK","Send in Change Order")</f>
        <v>OK</v>
      </c>
      <c r="S56" s="85">
        <v>45</v>
      </c>
      <c r="T56" s="86" t="str">
        <f>'Request #18'!T56</f>
        <v>Other Fees</v>
      </c>
      <c r="U56" s="218">
        <f>'Request #18'!U56</f>
        <v>0</v>
      </c>
      <c r="V56" s="87">
        <f>'Request #18'!V56</f>
        <v>0</v>
      </c>
      <c r="W56" s="88">
        <f>SUMIF(F7:F79,45,E7:E79)</f>
        <v>0</v>
      </c>
      <c r="X56" s="88">
        <f>'Request #18'!Y56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#18'!AA56,"OK","Alert,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#18'!V57,"OK","Send in Change Order")</f>
        <v>OK</v>
      </c>
      <c r="S57" s="85">
        <v>46</v>
      </c>
      <c r="T57" s="86" t="str">
        <f>'Request #18'!T57</f>
        <v>Other Fees</v>
      </c>
      <c r="U57" s="218">
        <f>'Request #18'!U57</f>
        <v>0</v>
      </c>
      <c r="V57" s="87">
        <f>'Request #18'!V57</f>
        <v>0</v>
      </c>
      <c r="W57" s="88">
        <f>SUMIF(F7:F79,46,E7:E79)</f>
        <v>0</v>
      </c>
      <c r="X57" s="88">
        <f>'Request #18'!Y57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#18'!AA57,"OK","Alert,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#18'!V58,"OK","Send in Change Order")</f>
        <v>OK</v>
      </c>
      <c r="S58" s="85">
        <v>47</v>
      </c>
      <c r="T58" s="86" t="str">
        <f>'Request #18'!T58</f>
        <v>Other Fees</v>
      </c>
      <c r="U58" s="218">
        <f>'Request #18'!U58</f>
        <v>0</v>
      </c>
      <c r="V58" s="87">
        <f>'Request #18'!V58</f>
        <v>0</v>
      </c>
      <c r="W58" s="88">
        <f>SUMIF(F7:F79,47,E7:E79)</f>
        <v>0</v>
      </c>
      <c r="X58" s="88">
        <f>'Request #18'!Y58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#18'!AA58,"OK","Alert,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#18'!V59,"OK","Send in Change Order")</f>
        <v>OK</v>
      </c>
      <c r="S59" s="85">
        <v>48</v>
      </c>
      <c r="T59" s="86" t="str">
        <f>'Request #18'!T59</f>
        <v>Other Fees</v>
      </c>
      <c r="U59" s="218">
        <f>'Request #18'!U59</f>
        <v>0</v>
      </c>
      <c r="V59" s="87">
        <f>'Request #18'!V59</f>
        <v>0</v>
      </c>
      <c r="W59" s="88">
        <f>SUMIF(F7:F79,48,E7:E79)</f>
        <v>0</v>
      </c>
      <c r="X59" s="88">
        <f>'Request #18'!Y59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#18'!AA59,"OK","Alert,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#18'!V60,"OK","Send in Change Order")</f>
        <v>OK</v>
      </c>
      <c r="S60" s="85">
        <v>49</v>
      </c>
      <c r="T60" s="86" t="str">
        <f>'Request #18'!T60</f>
        <v>Other Fees</v>
      </c>
      <c r="U60" s="218">
        <f>'Request #18'!U60</f>
        <v>0</v>
      </c>
      <c r="V60" s="87">
        <f>'Request #18'!V60</f>
        <v>0</v>
      </c>
      <c r="W60" s="88">
        <f>SUMIF(F7:F79,49,E7:E79)</f>
        <v>0</v>
      </c>
      <c r="X60" s="88">
        <f>'Request #18'!Y60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#18'!AA60,"OK","Alert,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#18'!V61,"OK","Send in Change Order")</f>
        <v>OK</v>
      </c>
      <c r="S61" s="85">
        <v>50</v>
      </c>
      <c r="T61" s="86" t="str">
        <f>'Request #18'!T61</f>
        <v>Other Fees</v>
      </c>
      <c r="U61" s="218">
        <f>'Request #18'!U61</f>
        <v>0</v>
      </c>
      <c r="V61" s="87">
        <f>'Request #18'!V61</f>
        <v>0</v>
      </c>
      <c r="W61" s="88">
        <f>SUMIF(F7:F79,50,E7:E79)</f>
        <v>0</v>
      </c>
      <c r="X61" s="88">
        <f>'Request #18'!Y61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#18'!AA61,"OK","Alert,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#18'!V62,"OK","Send in Change Order")</f>
        <v>OK</v>
      </c>
      <c r="S62" s="85">
        <v>51</v>
      </c>
      <c r="T62" s="86" t="str">
        <f>'Request #18'!T62</f>
        <v>Other Fees</v>
      </c>
      <c r="U62" s="218">
        <f>'Request #18'!U62</f>
        <v>0</v>
      </c>
      <c r="V62" s="87">
        <f>'Request #18'!V62</f>
        <v>0</v>
      </c>
      <c r="W62" s="88">
        <f>SUMIF(F7:F79,51,E7:E79)</f>
        <v>0</v>
      </c>
      <c r="X62" s="88">
        <f>'Request #18'!Y62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#18'!AA62,"OK","Alert,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#18'!V63,"OK","Send in Change Order")</f>
        <v>OK</v>
      </c>
      <c r="S63" s="85">
        <v>52</v>
      </c>
      <c r="T63" s="86" t="str">
        <f>'Request #18'!T63</f>
        <v>Worked Performed by Owner</v>
      </c>
      <c r="U63" s="218">
        <f>'Request #18'!U63</f>
        <v>0</v>
      </c>
      <c r="V63" s="87">
        <f>'Request #18'!V63</f>
        <v>0</v>
      </c>
      <c r="W63" s="88">
        <f>SUMIF(F7:F79,52,E7:E79)</f>
        <v>0</v>
      </c>
      <c r="X63" s="88">
        <f>'Request #18'!Y63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#18'!AA63,"OK","Alert,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#18'!V64,"OK","Send in Change Order")</f>
        <v>OK</v>
      </c>
      <c r="S64" s="85">
        <v>53</v>
      </c>
      <c r="T64" s="86" t="str">
        <f>'Request #18'!T64</f>
        <v>Equipment (Major)</v>
      </c>
      <c r="U64" s="218">
        <f>'Request #18'!U64</f>
        <v>0</v>
      </c>
      <c r="V64" s="87">
        <f>'Request #18'!V64</f>
        <v>0</v>
      </c>
      <c r="W64" s="88">
        <f>SUMIF(F7:F79,53,E7:E79)</f>
        <v>0</v>
      </c>
      <c r="X64" s="88">
        <f>'Request #18'!Y64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#18'!AA64,"OK","Alert,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#18'!V65,"OK","Send in Change Order")</f>
        <v>OK</v>
      </c>
      <c r="S65" s="85">
        <v>54</v>
      </c>
      <c r="T65" s="102" t="s">
        <v>90</v>
      </c>
      <c r="U65" s="218">
        <f>'Request #18'!U65</f>
        <v>0</v>
      </c>
      <c r="V65" s="87">
        <f>'Request #18'!V65</f>
        <v>0</v>
      </c>
      <c r="W65" s="104"/>
      <c r="X65" s="88">
        <f>'Request #18'!Y65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#18'!AA65,"OK","Alert,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#18'!V66,"OK","Send in Change Order")</f>
        <v>OK</v>
      </c>
      <c r="S66" s="85">
        <v>55</v>
      </c>
      <c r="T66" s="86"/>
      <c r="U66" s="218">
        <f>'Request #18'!U66</f>
        <v>0</v>
      </c>
      <c r="V66" s="87">
        <f>'Request #18'!V66</f>
        <v>0</v>
      </c>
      <c r="W66" s="88">
        <f>SUMIF(F7:F79,55,E7:E79)</f>
        <v>0</v>
      </c>
      <c r="X66" s="88">
        <f>'Request #18'!Y66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#18'!AA66,"OK","Alert,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#18'!V67,"OK","Send in Change Order")</f>
        <v>OK</v>
      </c>
      <c r="S67" s="85">
        <v>56</v>
      </c>
      <c r="T67" s="79"/>
      <c r="U67" s="218">
        <f>'Request #18'!U67</f>
        <v>0</v>
      </c>
      <c r="V67" s="87">
        <f>'Request #18'!V67</f>
        <v>0</v>
      </c>
      <c r="W67" s="88">
        <f>SUMIF(F7:F79,56,E7:E79)</f>
        <v>0</v>
      </c>
      <c r="X67" s="88">
        <f>'Request #18'!Y67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#18'!AA67,"OK","Alert,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#18'!V68,"OK","Send in Change Order")</f>
        <v>OK</v>
      </c>
      <c r="S68" s="316" t="s">
        <v>60</v>
      </c>
      <c r="T68" s="317"/>
      <c r="U68" s="166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#18'!AA68,"OK","Alert,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09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167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10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11" t="e">
        <f>V72/V68</f>
        <v>#DIV/0!</v>
      </c>
      <c r="V72" s="88">
        <f>V68-V74-V73</f>
        <v>0</v>
      </c>
      <c r="W72" s="87">
        <v>0</v>
      </c>
      <c r="X72" s="88">
        <f>'Request #18'!Y72</f>
        <v>0</v>
      </c>
      <c r="Y72" s="88">
        <f t="shared" ref="Y72:Y73" si="8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#18'!V73,"OK","Send in Change Order")</f>
        <v>OK</v>
      </c>
      <c r="S73" s="86" t="s">
        <v>95</v>
      </c>
      <c r="T73" s="114"/>
      <c r="U73" s="211" t="e">
        <f>V73/V68</f>
        <v>#DIV/0!</v>
      </c>
      <c r="V73" s="87">
        <f>'Request #18'!V73</f>
        <v>0</v>
      </c>
      <c r="W73" s="87">
        <v>0</v>
      </c>
      <c r="X73" s="88">
        <f>'Request #18'!Y73</f>
        <v>0</v>
      </c>
      <c r="Y73" s="88">
        <f t="shared" si="8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#18'!V74,"OK","Send in Change Order")</f>
        <v>OK</v>
      </c>
      <c r="S74" s="120" t="s">
        <v>96</v>
      </c>
      <c r="T74" s="121"/>
      <c r="U74" s="211" t="e">
        <f>V74/V68</f>
        <v>#DIV/0!</v>
      </c>
      <c r="V74" s="87">
        <f>'Request #18'!V74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77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12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13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13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14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77"/>
      <c r="V80" s="55"/>
      <c r="W80" s="55"/>
      <c r="X80" s="138"/>
      <c r="Y80" s="45" t="s">
        <v>108</v>
      </c>
      <c r="Z80" s="43"/>
      <c r="AA80" s="88">
        <f>'Request #18'!AA79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187" t="s">
        <v>116</v>
      </c>
      <c r="Z84" s="6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187" t="s">
        <v>118</v>
      </c>
      <c r="Z85" s="6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324" t="s">
        <v>91</v>
      </c>
      <c r="Z86" s="325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19</v>
      </c>
      <c r="V87" s="55"/>
      <c r="W87" s="55"/>
      <c r="X87" s="138"/>
      <c r="Y87" s="187" t="s">
        <v>108</v>
      </c>
      <c r="Z87" s="6"/>
      <c r="AA87" s="88">
        <f>'Request #18'!AA86</f>
        <v>0</v>
      </c>
      <c r="AB87" s="110"/>
    </row>
    <row r="88" spans="1:28" ht="30" customHeight="1" thickBot="1" x14ac:dyDescent="0.35">
      <c r="S88" s="55"/>
      <c r="T88" s="55"/>
      <c r="U88" s="77"/>
      <c r="V88" s="55"/>
      <c r="W88" s="55"/>
      <c r="X88" s="138"/>
      <c r="Y88" s="188" t="s">
        <v>110</v>
      </c>
      <c r="Z88" s="18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77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77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77"/>
      <c r="V91" s="55"/>
      <c r="W91" s="55"/>
      <c r="X91" s="55"/>
    </row>
    <row r="92" spans="1:28" ht="30" customHeight="1" x14ac:dyDescent="0.3">
      <c r="S92" s="55"/>
      <c r="T92" s="55"/>
      <c r="U92" s="77"/>
      <c r="V92" s="55"/>
      <c r="W92" s="55"/>
      <c r="X92" s="55"/>
    </row>
    <row r="93" spans="1:28" ht="30" customHeight="1" x14ac:dyDescent="0.3">
      <c r="S93" s="55"/>
      <c r="T93" s="55"/>
      <c r="U93" s="77"/>
      <c r="V93" s="55"/>
      <c r="W93" s="55"/>
      <c r="X93" s="55"/>
    </row>
    <row r="94" spans="1:28" ht="30" customHeight="1" x14ac:dyDescent="0.3">
      <c r="S94" s="55"/>
      <c r="T94" s="55"/>
      <c r="U94" s="77"/>
      <c r="V94" s="55"/>
      <c r="W94" s="55"/>
      <c r="X94" s="55"/>
    </row>
    <row r="95" spans="1:28" ht="30" customHeight="1" x14ac:dyDescent="0.3">
      <c r="S95" s="55"/>
      <c r="T95" s="55"/>
      <c r="U95" s="77"/>
      <c r="V95" s="55"/>
      <c r="W95" s="55"/>
      <c r="X95" s="55"/>
    </row>
    <row r="96" spans="1:28" ht="30" customHeight="1" x14ac:dyDescent="0.3">
      <c r="S96" s="55"/>
      <c r="T96" s="55"/>
      <c r="U96" s="77"/>
      <c r="V96" s="55"/>
      <c r="W96" s="55"/>
      <c r="X96" s="55"/>
    </row>
    <row r="97" spans="15:24" ht="30" customHeight="1" x14ac:dyDescent="0.3">
      <c r="S97" s="55"/>
      <c r="T97" s="55"/>
      <c r="U97" s="77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3L04ZtFNwBv4e8XgCOtQxjLh1M7unlReNLKNm7whoV9UpjIW3AEEh7Gc/hIkxkmk4qMeLZ4zDR1baDmgBQCbyQ==" saltValue="NbP2Yq0UsejA+32DmBCJtw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269" priority="10" operator="containsText" text="Change">
      <formula>NOT(ISERROR(SEARCH("Change",R1)))</formula>
    </cfRule>
  </conditionalFormatting>
  <conditionalFormatting sqref="R45:R48">
    <cfRule type="cellIs" dxfId="268" priority="7" operator="equal">
      <formula>"Send in Change Order"</formula>
    </cfRule>
  </conditionalFormatting>
  <conditionalFormatting sqref="W68">
    <cfRule type="cellIs" dxfId="267" priority="2" operator="notEqual">
      <formula>$E$82</formula>
    </cfRule>
    <cfRule type="cellIs" dxfId="266" priority="3" operator="greaterThan">
      <formula>$E$82</formula>
    </cfRule>
    <cfRule type="cellIs" dxfId="265" priority="4" operator="notEqual">
      <formula>$E$82</formula>
    </cfRule>
  </conditionalFormatting>
  <conditionalFormatting sqref="Z12:Z44">
    <cfRule type="cellIs" dxfId="264" priority="8" operator="lessThan">
      <formula>0</formula>
    </cfRule>
  </conditionalFormatting>
  <conditionalFormatting sqref="Z49:Z68">
    <cfRule type="cellIs" dxfId="263" priority="5" operator="lessThan">
      <formula>0</formula>
    </cfRule>
  </conditionalFormatting>
  <conditionalFormatting sqref="AA68">
    <cfRule type="cellIs" dxfId="262" priority="1" operator="notEqual">
      <formula>$O$82</formula>
    </cfRule>
  </conditionalFormatting>
  <conditionalFormatting sqref="AB1:AB1048576">
    <cfRule type="containsText" dxfId="261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2" manualBreakCount="12">
    <brk id="6" max="88" man="1"/>
    <brk id="10" max="1048575" man="1"/>
    <brk id="16" max="88" man="1"/>
    <brk id="18" max="1048575" man="1"/>
    <brk id="27" max="88" man="1"/>
    <brk id="29" max="1048575" man="1"/>
    <brk id="51" max="1048575" man="1"/>
    <brk id="52" max="1048575" man="1"/>
    <brk id="99" max="1048575" man="1"/>
    <brk id="101" max="1048575" man="1"/>
    <brk id="110" max="1048575" man="1"/>
    <brk id="11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664062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32.5546875" style="50" customWidth="1"/>
    <col min="19" max="19" width="6.109375" style="39" customWidth="1"/>
    <col min="20" max="20" width="31.109375" style="39" customWidth="1"/>
    <col min="21" max="21" width="17.77734375" style="39" customWidth="1"/>
    <col min="22" max="27" width="18.88671875" style="39" customWidth="1"/>
    <col min="28" max="28" width="25.10937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53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20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53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53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55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68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74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20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80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#19'!V12,"OK","Send in Change Order")</f>
        <v>OK</v>
      </c>
      <c r="S12" s="85">
        <v>1</v>
      </c>
      <c r="T12" s="86" t="str">
        <f>'Request #19'!T12</f>
        <v>Land/Site Grading &amp; Improv.</v>
      </c>
      <c r="U12" s="218">
        <f>'Request #19'!U12</f>
        <v>0</v>
      </c>
      <c r="V12" s="87">
        <f>'Request #19'!V12</f>
        <v>0</v>
      </c>
      <c r="W12" s="88">
        <f>SUMIF(F7:F79,1,E7:E79)</f>
        <v>0</v>
      </c>
      <c r="X12" s="88">
        <f>'Request #19'!Y12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#19'!AA12,"OK","Alert,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#19'!V13,"OK","Send in Change Order")</f>
        <v>OK</v>
      </c>
      <c r="S13" s="85">
        <v>2</v>
      </c>
      <c r="T13" s="86" t="str">
        <f>'Request #19'!T13</f>
        <v xml:space="preserve">General Contract </v>
      </c>
      <c r="U13" s="218">
        <f>'Request #19'!U13</f>
        <v>0</v>
      </c>
      <c r="V13" s="87">
        <f>'Request #19'!V13</f>
        <v>0</v>
      </c>
      <c r="W13" s="88">
        <f>SUMIF(F7:F79,2,E7:E79)</f>
        <v>0</v>
      </c>
      <c r="X13" s="88">
        <f>'Request #19'!Y13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#19'!AA13,"OK","Alert,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#19'!V14,"OK","Send in Change Order")</f>
        <v>OK</v>
      </c>
      <c r="S14" s="85">
        <v>3</v>
      </c>
      <c r="T14" s="86" t="str">
        <f>'Request #19'!T14</f>
        <v>Designer Contract</v>
      </c>
      <c r="U14" s="218">
        <f>'Request #19'!U14</f>
        <v>0</v>
      </c>
      <c r="V14" s="87">
        <f>'Request #19'!V14</f>
        <v>0</v>
      </c>
      <c r="W14" s="88">
        <f>SUMIF(F7:F79,3,E7:E79)</f>
        <v>0</v>
      </c>
      <c r="X14" s="88">
        <f>'Request #19'!Y14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#19'!AA14,"OK","Alert,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#19'!V15,"OK","Send in Change Order")</f>
        <v>OK</v>
      </c>
      <c r="S15" s="85">
        <v>4</v>
      </c>
      <c r="T15" s="86" t="str">
        <f>'Request #19'!T15</f>
        <v>Designer Reimbursables</v>
      </c>
      <c r="U15" s="218">
        <f>'Request #19'!U15</f>
        <v>0</v>
      </c>
      <c r="V15" s="87">
        <f>'Request #19'!V15</f>
        <v>0</v>
      </c>
      <c r="W15" s="88">
        <f>SUMIF(F7:F79,4,E7:E79)</f>
        <v>0</v>
      </c>
      <c r="X15" s="88">
        <f>'Request #19'!Y15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#19'!AA15,"OK","Alert,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#19'!V16,"OK","Send in Change Order")</f>
        <v>OK</v>
      </c>
      <c r="S16" s="85">
        <v>5</v>
      </c>
      <c r="T16" s="86" t="str">
        <f>'Request #19'!T16</f>
        <v>Other Contracts</v>
      </c>
      <c r="U16" s="218">
        <f>'Request #19'!U16</f>
        <v>0</v>
      </c>
      <c r="V16" s="87">
        <f>'Request #19'!V16</f>
        <v>0</v>
      </c>
      <c r="W16" s="88">
        <f>SUMIF(F7:F79,5,E7:E79)</f>
        <v>0</v>
      </c>
      <c r="X16" s="88">
        <f>'Request #19'!Y16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#19'!AA16,"OK","Alert,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#19'!V17,"OK","Send in Change Order")</f>
        <v>OK</v>
      </c>
      <c r="S17" s="85">
        <v>6</v>
      </c>
      <c r="T17" s="86" t="str">
        <f>'Request #19'!T17</f>
        <v>Other Contracts</v>
      </c>
      <c r="U17" s="218">
        <f>'Request #19'!U17</f>
        <v>0</v>
      </c>
      <c r="V17" s="87">
        <f>'Request #19'!V17</f>
        <v>0</v>
      </c>
      <c r="W17" s="88">
        <f>SUMIF(F7:F79,6,E7:E79)</f>
        <v>0</v>
      </c>
      <c r="X17" s="88">
        <f>'Request #19'!Y17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#19'!AA17,"OK","Alert,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#19'!V18,"OK","Send in Change Order")</f>
        <v>OK</v>
      </c>
      <c r="S18" s="85">
        <v>7</v>
      </c>
      <c r="T18" s="86" t="str">
        <f>'Request #19'!T18</f>
        <v>Other Contracts</v>
      </c>
      <c r="U18" s="218">
        <f>'Request #19'!U18</f>
        <v>0</v>
      </c>
      <c r="V18" s="87">
        <f>'Request #19'!V18</f>
        <v>0</v>
      </c>
      <c r="W18" s="88">
        <f>SUMIF(F7:F79,7,E7:E79)</f>
        <v>0</v>
      </c>
      <c r="X18" s="88">
        <f>'Request #19'!Y18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#19'!AA18,"OK","Alert,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#19'!V19,"OK","Send in Change Order")</f>
        <v>OK</v>
      </c>
      <c r="S19" s="85">
        <v>8</v>
      </c>
      <c r="T19" s="86" t="str">
        <f>'Request #19'!T19</f>
        <v>Other Contracts</v>
      </c>
      <c r="U19" s="218">
        <f>'Request #19'!U19</f>
        <v>0</v>
      </c>
      <c r="V19" s="87">
        <f>'Request #19'!V19</f>
        <v>0</v>
      </c>
      <c r="W19" s="88">
        <f>SUMIF(F7:F79,8,E7:E79)</f>
        <v>0</v>
      </c>
      <c r="X19" s="88">
        <f>'Request #19'!Y19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#19'!AA19,"OK","Alert,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#19'!V20,"OK","Send in Change Order")</f>
        <v>OK</v>
      </c>
      <c r="S20" s="85">
        <v>9</v>
      </c>
      <c r="T20" s="86" t="str">
        <f>'Request #19'!T20</f>
        <v>Other Contracts</v>
      </c>
      <c r="U20" s="218">
        <f>'Request #19'!U20</f>
        <v>0</v>
      </c>
      <c r="V20" s="87">
        <f>'Request #19'!V20</f>
        <v>0</v>
      </c>
      <c r="W20" s="88">
        <f>SUMIF(F7:F79,9,E7:E79)</f>
        <v>0</v>
      </c>
      <c r="X20" s="88">
        <f>'Request #19'!Y20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#19'!AA20,"OK","Alert,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#19'!V21,"OK","Send in Change Order")</f>
        <v>OK</v>
      </c>
      <c r="S21" s="85">
        <v>10</v>
      </c>
      <c r="T21" s="86" t="str">
        <f>'Request #19'!T21</f>
        <v>Other Contracts</v>
      </c>
      <c r="U21" s="218">
        <f>'Request #19'!U21</f>
        <v>0</v>
      </c>
      <c r="V21" s="87">
        <f>'Request #19'!V21</f>
        <v>0</v>
      </c>
      <c r="W21" s="88">
        <f>SUMIF(F7:F79,10,E7:E79)</f>
        <v>0</v>
      </c>
      <c r="X21" s="88">
        <f>'Request #19'!Y21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#19'!AA21,"OK","Alert,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#19'!V22,"OK","Send in Change Order")</f>
        <v>OK</v>
      </c>
      <c r="S22" s="85">
        <v>11</v>
      </c>
      <c r="T22" s="86" t="str">
        <f>'Request #19'!T22</f>
        <v>Other Contracts</v>
      </c>
      <c r="U22" s="218">
        <f>'Request #19'!U22</f>
        <v>0</v>
      </c>
      <c r="V22" s="87">
        <f>'Request #19'!V22</f>
        <v>0</v>
      </c>
      <c r="W22" s="88">
        <f>SUMIF(F7:F79,11,E7:E79)</f>
        <v>0</v>
      </c>
      <c r="X22" s="88">
        <f>'Request #19'!Y22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#19'!AA22,"OK","Alert,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#19'!V23,"OK","Send in Change Order")</f>
        <v>OK</v>
      </c>
      <c r="S23" s="85">
        <v>12</v>
      </c>
      <c r="T23" s="86" t="str">
        <f>'Request #19'!T23</f>
        <v>Other Contracts</v>
      </c>
      <c r="U23" s="218">
        <f>'Request #19'!U23</f>
        <v>0</v>
      </c>
      <c r="V23" s="87">
        <f>'Request #19'!V23</f>
        <v>0</v>
      </c>
      <c r="W23" s="88">
        <f>SUMIF(F7:F79,12,E7:E79)</f>
        <v>0</v>
      </c>
      <c r="X23" s="88">
        <f>'Request #19'!Y23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#19'!AA23,"OK","Alert,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#19'!V24,"OK","Send in Change Order")</f>
        <v>OK</v>
      </c>
      <c r="S24" s="85">
        <v>13</v>
      </c>
      <c r="T24" s="86" t="str">
        <f>'Request #19'!T24</f>
        <v>Other Contracts</v>
      </c>
      <c r="U24" s="218">
        <f>'Request #19'!U24</f>
        <v>0</v>
      </c>
      <c r="V24" s="87">
        <f>'Request #19'!V24</f>
        <v>0</v>
      </c>
      <c r="W24" s="88">
        <f>SUMIF(F7:F79,13,E7:E79)</f>
        <v>0</v>
      </c>
      <c r="X24" s="88">
        <f>'Request #19'!Y24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#19'!AA24,"OK","Alert,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#19'!V25,"OK","Send in Change Order")</f>
        <v>OK</v>
      </c>
      <c r="S25" s="85">
        <v>14</v>
      </c>
      <c r="T25" s="86" t="str">
        <f>'Request #19'!T25</f>
        <v>Other Contracts</v>
      </c>
      <c r="U25" s="218">
        <f>'Request #19'!U25</f>
        <v>0</v>
      </c>
      <c r="V25" s="87">
        <f>'Request #19'!V25</f>
        <v>0</v>
      </c>
      <c r="W25" s="88">
        <f>SUMIF(F7:F79,14,E7:E79)</f>
        <v>0</v>
      </c>
      <c r="X25" s="88">
        <f>'Request #19'!Y25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#19'!AA25,"OK","Alert,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#19'!V26,"OK","Send in Change Order")</f>
        <v>OK</v>
      </c>
      <c r="S26" s="85">
        <v>15</v>
      </c>
      <c r="T26" s="86" t="str">
        <f>'Request #19'!T26</f>
        <v>Other Contracts</v>
      </c>
      <c r="U26" s="218">
        <f>'Request #19'!U26</f>
        <v>0</v>
      </c>
      <c r="V26" s="87">
        <f>'Request #19'!V26</f>
        <v>0</v>
      </c>
      <c r="W26" s="88">
        <f>SUMIF(F7:F79,15,E7:E79)</f>
        <v>0</v>
      </c>
      <c r="X26" s="88">
        <f>'Request #19'!Y26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#19'!AA26,"OK","Alert,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#19'!V27,"OK","Send in Change Order")</f>
        <v>OK</v>
      </c>
      <c r="S27" s="85">
        <v>16</v>
      </c>
      <c r="T27" s="86" t="str">
        <f>'Request #19'!T27</f>
        <v>Other Contracts</v>
      </c>
      <c r="U27" s="218">
        <f>'Request #19'!U27</f>
        <v>0</v>
      </c>
      <c r="V27" s="87">
        <f>'Request #19'!V27</f>
        <v>0</v>
      </c>
      <c r="W27" s="88">
        <f>SUMIF(F7:F79,16,E7:E79)</f>
        <v>0</v>
      </c>
      <c r="X27" s="88">
        <f>'Request #19'!Y27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#19'!AA27,"OK","Alert,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#19'!V28,"OK","Send in Change Order")</f>
        <v>OK</v>
      </c>
      <c r="S28" s="85">
        <v>17</v>
      </c>
      <c r="T28" s="86" t="str">
        <f>'Request #19'!T28</f>
        <v>Other Contracts</v>
      </c>
      <c r="U28" s="218">
        <f>'Request #19'!U28</f>
        <v>0</v>
      </c>
      <c r="V28" s="87">
        <f>'Request #19'!V28</f>
        <v>0</v>
      </c>
      <c r="W28" s="88">
        <f>SUMIF(F7:F79,17,E7:E79)</f>
        <v>0</v>
      </c>
      <c r="X28" s="88">
        <f>'Request #19'!Y28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#19'!AA28,"OK","Alert,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#19'!V29,"OK","Send in Change Order")</f>
        <v>OK</v>
      </c>
      <c r="S29" s="85">
        <v>18</v>
      </c>
      <c r="T29" s="86" t="str">
        <f>'Request #19'!T29</f>
        <v>Other Contracts</v>
      </c>
      <c r="U29" s="218">
        <f>'Request #19'!U29</f>
        <v>0</v>
      </c>
      <c r="V29" s="87">
        <f>'Request #19'!V29</f>
        <v>0</v>
      </c>
      <c r="W29" s="88">
        <f>SUMIF(F7:F79,18,E7:E79)</f>
        <v>0</v>
      </c>
      <c r="X29" s="88">
        <f>'Request #19'!Y29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#19'!AA29,"OK","Alert,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#19'!V30,"OK","Send in Change Order")</f>
        <v>OK</v>
      </c>
      <c r="S30" s="85">
        <v>19</v>
      </c>
      <c r="T30" s="86" t="str">
        <f>'Request #19'!T30</f>
        <v>Other Contracts</v>
      </c>
      <c r="U30" s="218">
        <f>'Request #19'!U30</f>
        <v>0</v>
      </c>
      <c r="V30" s="87">
        <f>'Request #19'!V30</f>
        <v>0</v>
      </c>
      <c r="W30" s="88">
        <f>SUMIF(F7:F79,19,E7:E79)</f>
        <v>0</v>
      </c>
      <c r="X30" s="88">
        <f>'Request #19'!Y30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#19'!AA30,"OK","Alert,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#19'!V31,"OK","Send in Change Order")</f>
        <v>OK</v>
      </c>
      <c r="S31" s="85">
        <v>20</v>
      </c>
      <c r="T31" s="86" t="str">
        <f>'Request #19'!T31</f>
        <v>Other Contracts</v>
      </c>
      <c r="U31" s="218">
        <f>'Request #19'!U31</f>
        <v>0</v>
      </c>
      <c r="V31" s="87">
        <f>'Request #19'!V31</f>
        <v>0</v>
      </c>
      <c r="W31" s="88">
        <f>SUMIF(F7:F79,20,E7:E79)</f>
        <v>0</v>
      </c>
      <c r="X31" s="88">
        <f>'Request #19'!Y31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#19'!AA31,"OK","Alert,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#19'!V32,"OK","Send in Change Order")</f>
        <v>OK</v>
      </c>
      <c r="S32" s="85">
        <v>21</v>
      </c>
      <c r="T32" s="86" t="str">
        <f>'Request #19'!T32</f>
        <v>Other Contracts</v>
      </c>
      <c r="U32" s="218">
        <f>'Request #19'!U32</f>
        <v>0</v>
      </c>
      <c r="V32" s="87">
        <f>'Request #19'!V32</f>
        <v>0</v>
      </c>
      <c r="W32" s="88">
        <f>SUMIF(F7:F79,21,E7:E79)</f>
        <v>0</v>
      </c>
      <c r="X32" s="88">
        <f>'Request #19'!Y32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#19'!AA32,"OK","Alert,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#19'!V33,"OK","Send in Change Order")</f>
        <v>OK</v>
      </c>
      <c r="S33" s="85">
        <v>22</v>
      </c>
      <c r="T33" s="86" t="str">
        <f>'Request #19'!T33</f>
        <v>Other Contracts</v>
      </c>
      <c r="U33" s="218">
        <f>'Request #19'!U33</f>
        <v>0</v>
      </c>
      <c r="V33" s="87">
        <f>'Request #19'!V33</f>
        <v>0</v>
      </c>
      <c r="W33" s="88">
        <f>SUMIF(F7:F79,22,E7:E79)</f>
        <v>0</v>
      </c>
      <c r="X33" s="88">
        <f>'Request #19'!Y33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#19'!AA33,"OK","Alert,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#19'!V34,"OK","Send in Change Order")</f>
        <v>OK</v>
      </c>
      <c r="S34" s="85">
        <v>23</v>
      </c>
      <c r="T34" s="86" t="str">
        <f>'Request #19'!T34</f>
        <v>Other Contracts</v>
      </c>
      <c r="U34" s="218">
        <f>'Request #19'!U34</f>
        <v>0</v>
      </c>
      <c r="V34" s="87">
        <f>'Request #19'!V34</f>
        <v>0</v>
      </c>
      <c r="W34" s="88">
        <f>SUMIF(F7:F79,23,E7:E79)</f>
        <v>0</v>
      </c>
      <c r="X34" s="88">
        <f>'Request #19'!Y34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#19'!AA34,"OK","Alert,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#19'!V35,"OK","Send in Change Order")</f>
        <v>OK</v>
      </c>
      <c r="S35" s="85">
        <v>24</v>
      </c>
      <c r="T35" s="86" t="str">
        <f>'Request #19'!T35</f>
        <v>Other Contracts</v>
      </c>
      <c r="U35" s="218">
        <f>'Request #19'!U35</f>
        <v>0</v>
      </c>
      <c r="V35" s="87">
        <f>'Request #19'!V35</f>
        <v>0</v>
      </c>
      <c r="W35" s="88">
        <f>SUMIF(F7:F79,24,E7:E79)</f>
        <v>0</v>
      </c>
      <c r="X35" s="88">
        <f>'Request #19'!Y35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#19'!AA35,"OK","Alert,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#19'!V36,"OK","Send in Change Order")</f>
        <v>OK</v>
      </c>
      <c r="S36" s="85">
        <v>25</v>
      </c>
      <c r="T36" s="86" t="str">
        <f>'Request #19'!T36</f>
        <v>Other Contracts</v>
      </c>
      <c r="U36" s="218">
        <f>'Request #19'!U36</f>
        <v>0</v>
      </c>
      <c r="V36" s="87">
        <f>'Request #19'!V36</f>
        <v>0</v>
      </c>
      <c r="W36" s="88">
        <f>SUMIF(F7:F79,25,E7:E79)</f>
        <v>0</v>
      </c>
      <c r="X36" s="88">
        <f>'Request #19'!Y36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#19'!AA36,"OK","Alert,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#19'!V37,"OK","Send in Change Order")</f>
        <v>OK</v>
      </c>
      <c r="S37" s="85">
        <v>26</v>
      </c>
      <c r="T37" s="86" t="str">
        <f>'Request #19'!T37</f>
        <v>Other Fees</v>
      </c>
      <c r="U37" s="218">
        <f>'Request #19'!U37</f>
        <v>0</v>
      </c>
      <c r="V37" s="87">
        <f>'Request #19'!V37</f>
        <v>0</v>
      </c>
      <c r="W37" s="88">
        <f>SUMIF(F7:F79,26,E7:E79)</f>
        <v>0</v>
      </c>
      <c r="X37" s="88">
        <f>'Request #19'!Y37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#19'!AA37,"OK","Alert,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#19'!V38,"OK","Send in Change Order")</f>
        <v>OK</v>
      </c>
      <c r="S38" s="85">
        <v>27</v>
      </c>
      <c r="T38" s="86" t="str">
        <f>'Request #19'!T38</f>
        <v>Other Fees</v>
      </c>
      <c r="U38" s="218">
        <f>'Request #19'!U38</f>
        <v>0</v>
      </c>
      <c r="V38" s="87">
        <f>'Request #19'!V38</f>
        <v>0</v>
      </c>
      <c r="W38" s="88">
        <f>SUMIF(F7:F79,27,E7:E79)</f>
        <v>0</v>
      </c>
      <c r="X38" s="88">
        <f>'Request #19'!Y38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#19'!AA38,"OK","Alert,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#19'!V39,"OK","Send in Change Order")</f>
        <v>OK</v>
      </c>
      <c r="S39" s="85">
        <v>28</v>
      </c>
      <c r="T39" s="86" t="str">
        <f>'Request #19'!T39</f>
        <v>Other Fees</v>
      </c>
      <c r="U39" s="218">
        <f>'Request #19'!U39</f>
        <v>0</v>
      </c>
      <c r="V39" s="87">
        <f>'Request #19'!V39</f>
        <v>0</v>
      </c>
      <c r="W39" s="88">
        <f>SUMIF(F7:F79,28,E7:E79)</f>
        <v>0</v>
      </c>
      <c r="X39" s="88">
        <f>'Request #19'!Y39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#19'!AA39,"OK","Alert,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#19'!V40,"OK","Send in Change Order")</f>
        <v>OK</v>
      </c>
      <c r="S40" s="85">
        <v>29</v>
      </c>
      <c r="T40" s="86" t="str">
        <f>'Request #19'!T40</f>
        <v>Other Fees</v>
      </c>
      <c r="U40" s="218">
        <f>'Request #19'!U40</f>
        <v>0</v>
      </c>
      <c r="V40" s="87">
        <f>'Request #19'!V40</f>
        <v>0</v>
      </c>
      <c r="W40" s="88">
        <f>SUMIF(F7:F79,29,E7:E79)</f>
        <v>0</v>
      </c>
      <c r="X40" s="88">
        <f>'Request #19'!Y40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#19'!AA40,"OK","Alert,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#19'!V41,"OK","Send in Change Order")</f>
        <v>OK</v>
      </c>
      <c r="S41" s="85">
        <v>30</v>
      </c>
      <c r="T41" s="86" t="str">
        <f>'Request #19'!T41</f>
        <v>Other Fees</v>
      </c>
      <c r="U41" s="218">
        <f>'Request #19'!U41</f>
        <v>0</v>
      </c>
      <c r="V41" s="87">
        <f>'Request #19'!V41</f>
        <v>0</v>
      </c>
      <c r="W41" s="88">
        <f>SUMIF(F7:F79,30,E7:E79)</f>
        <v>0</v>
      </c>
      <c r="X41" s="88">
        <f>'Request #19'!Y41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#19'!AA41,"OK","Alert,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#19'!V42,"OK","Send in Change Order")</f>
        <v>OK</v>
      </c>
      <c r="S42" s="85">
        <v>31</v>
      </c>
      <c r="T42" s="86" t="str">
        <f>'Request #19'!T42</f>
        <v>Other Fees</v>
      </c>
      <c r="U42" s="218">
        <f>'Request #19'!U42</f>
        <v>0</v>
      </c>
      <c r="V42" s="87">
        <f>'Request #19'!V42</f>
        <v>0</v>
      </c>
      <c r="W42" s="88">
        <f>SUMIF(F7:F79,31,E7:E79)</f>
        <v>0</v>
      </c>
      <c r="X42" s="88">
        <f>'Request #19'!Y42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#19'!AA42,"OK","Alert,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#19'!V43,"OK","Send in Change Order")</f>
        <v>OK</v>
      </c>
      <c r="S43" s="85">
        <v>32</v>
      </c>
      <c r="T43" s="86" t="str">
        <f>'Request #19'!T43</f>
        <v>Other Fees</v>
      </c>
      <c r="U43" s="218">
        <f>'Request #19'!U43</f>
        <v>0</v>
      </c>
      <c r="V43" s="87">
        <f>'Request #19'!V43</f>
        <v>0</v>
      </c>
      <c r="W43" s="88">
        <f>SUMIF(F7:F79,32,E7:E79)</f>
        <v>0</v>
      </c>
      <c r="X43" s="88">
        <f>'Request #19'!Y43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#19'!AA43,"OK","Alert,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#19'!V44,"OK","Send in Change Order")</f>
        <v>OK</v>
      </c>
      <c r="S44" s="85">
        <v>33</v>
      </c>
      <c r="T44" s="86" t="str">
        <f>'Request #19'!T44</f>
        <v>Other Fees</v>
      </c>
      <c r="U44" s="218">
        <f>'Request #19'!U44</f>
        <v>0</v>
      </c>
      <c r="V44" s="87">
        <f>'Request #19'!V44</f>
        <v>0</v>
      </c>
      <c r="W44" s="88">
        <f>SUMIF(F7:F79,33,E7:E79)</f>
        <v>0</v>
      </c>
      <c r="X44" s="88">
        <f>'Request #19'!Y44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#19'!AA44,"OK","Alert,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#19'!V49,"OK","Send in Change Order")</f>
        <v>OK</v>
      </c>
      <c r="S49" s="85">
        <v>38</v>
      </c>
      <c r="T49" s="86" t="str">
        <f>'Request #19'!T49</f>
        <v>Other Fees</v>
      </c>
      <c r="U49" s="218">
        <f>'Request #19'!U49</f>
        <v>0</v>
      </c>
      <c r="V49" s="87">
        <f>'Request #19'!V49</f>
        <v>0</v>
      </c>
      <c r="W49" s="88">
        <f>SUMIF(F7:F79,38,E7:E79)</f>
        <v>0</v>
      </c>
      <c r="X49" s="88">
        <f>'Request #19'!Y49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#19'!AA49,"OK","Alert,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#19'!V50,"OK","Send in Change Order")</f>
        <v>OK</v>
      </c>
      <c r="S50" s="85">
        <v>39</v>
      </c>
      <c r="T50" s="86" t="str">
        <f>'Request #19'!T50</f>
        <v>Other Fees</v>
      </c>
      <c r="U50" s="218">
        <f>'Request #19'!U50</f>
        <v>0</v>
      </c>
      <c r="V50" s="87">
        <f>'Request #19'!V50</f>
        <v>0</v>
      </c>
      <c r="W50" s="88">
        <f>SUMIF(F7:F79,39,E7:E79)</f>
        <v>0</v>
      </c>
      <c r="X50" s="88">
        <f>'Request #19'!Y50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#19'!AA50,"OK","Alert,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#19'!V51,"OK","Send in Change Order")</f>
        <v>OK</v>
      </c>
      <c r="S51" s="85">
        <v>40</v>
      </c>
      <c r="T51" s="86" t="str">
        <f>'Request #19'!T51</f>
        <v>Other Fees</v>
      </c>
      <c r="U51" s="218">
        <f>'Request #19'!U51</f>
        <v>0</v>
      </c>
      <c r="V51" s="87">
        <f>'Request #19'!V51</f>
        <v>0</v>
      </c>
      <c r="W51" s="88">
        <f>SUMIF(F7:F79,40,E7:E79)</f>
        <v>0</v>
      </c>
      <c r="X51" s="88">
        <f>'Request #19'!Y51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#19'!AA51,"OK","Alert,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#19'!V52,"OK","Send in Change Order")</f>
        <v>OK</v>
      </c>
      <c r="S52" s="85">
        <v>41</v>
      </c>
      <c r="T52" s="86" t="str">
        <f>'Request #19'!T52</f>
        <v>Other Fees</v>
      </c>
      <c r="U52" s="218">
        <f>'Request #19'!U52</f>
        <v>0</v>
      </c>
      <c r="V52" s="87">
        <f>'Request #19'!V52</f>
        <v>0</v>
      </c>
      <c r="W52" s="88">
        <f>SUMIF(F7:F79,41,E7:E79)</f>
        <v>0</v>
      </c>
      <c r="X52" s="88">
        <f>'Request #19'!Y52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#19'!AA52,"OK","Alert,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#19'!V53,"OK","Send in Change Order")</f>
        <v>OK</v>
      </c>
      <c r="S53" s="85">
        <v>42</v>
      </c>
      <c r="T53" s="86" t="str">
        <f>'Request #19'!T53</f>
        <v>Other Fees</v>
      </c>
      <c r="U53" s="218">
        <f>'Request #19'!U53</f>
        <v>0</v>
      </c>
      <c r="V53" s="87">
        <f>'Request #19'!V53</f>
        <v>0</v>
      </c>
      <c r="W53" s="88">
        <f>SUMIF(F7:F79,42,E7:E79)</f>
        <v>0</v>
      </c>
      <c r="X53" s="88">
        <f>'Request #19'!Y53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#19'!AA53,"OK","Alert,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#19'!V54,"OK","Send in Change Order")</f>
        <v>OK</v>
      </c>
      <c r="S54" s="85">
        <v>43</v>
      </c>
      <c r="T54" s="86" t="str">
        <f>'Request #19'!T54</f>
        <v>Other Fees</v>
      </c>
      <c r="U54" s="218">
        <f>'Request #19'!U54</f>
        <v>0</v>
      </c>
      <c r="V54" s="87">
        <f>'Request #19'!V54</f>
        <v>0</v>
      </c>
      <c r="W54" s="88">
        <f>SUMIF(F7:F79,43,E7:E79)</f>
        <v>0</v>
      </c>
      <c r="X54" s="88">
        <f>'Request #19'!Y54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#19'!AA54,"OK","Alert,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#19'!V55,"OK","Send in Change Order")</f>
        <v>OK</v>
      </c>
      <c r="S55" s="85">
        <v>44</v>
      </c>
      <c r="T55" s="86" t="str">
        <f>'Request #19'!T55</f>
        <v>Other Fees</v>
      </c>
      <c r="U55" s="218">
        <f>'Request #19'!U55</f>
        <v>0</v>
      </c>
      <c r="V55" s="87">
        <f>'Request #19'!V55</f>
        <v>0</v>
      </c>
      <c r="W55" s="88">
        <f>SUMIF(F7:F79,44,E7:E79)</f>
        <v>0</v>
      </c>
      <c r="X55" s="88">
        <f>'Request #19'!Y55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#19'!AA55,"OK","Alert,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#19'!V56,"OK","Send in Change Order")</f>
        <v>OK</v>
      </c>
      <c r="S56" s="85">
        <v>45</v>
      </c>
      <c r="T56" s="86" t="str">
        <f>'Request #19'!T56</f>
        <v>Other Fees</v>
      </c>
      <c r="U56" s="218">
        <f>'Request #19'!U56</f>
        <v>0</v>
      </c>
      <c r="V56" s="87">
        <f>'Request #19'!V56</f>
        <v>0</v>
      </c>
      <c r="W56" s="88">
        <f>SUMIF(F7:F79,45,E7:E79)</f>
        <v>0</v>
      </c>
      <c r="X56" s="88">
        <f>'Request #19'!Y56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#19'!AA56,"OK","Alert,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#19'!V57,"OK","Send in Change Order")</f>
        <v>OK</v>
      </c>
      <c r="S57" s="85">
        <v>46</v>
      </c>
      <c r="T57" s="86" t="str">
        <f>'Request #19'!T57</f>
        <v>Other Fees</v>
      </c>
      <c r="U57" s="218">
        <f>'Request #19'!U57</f>
        <v>0</v>
      </c>
      <c r="V57" s="87">
        <f>'Request #19'!V57</f>
        <v>0</v>
      </c>
      <c r="W57" s="88">
        <f>SUMIF(F7:F79,46,E7:E79)</f>
        <v>0</v>
      </c>
      <c r="X57" s="88">
        <f>'Request #19'!Y57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#19'!AA57,"OK","Alert,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#19'!V58,"OK","Send in Change Order")</f>
        <v>OK</v>
      </c>
      <c r="S58" s="85">
        <v>47</v>
      </c>
      <c r="T58" s="86" t="str">
        <f>'Request #19'!T58</f>
        <v>Other Fees</v>
      </c>
      <c r="U58" s="218">
        <f>'Request #19'!U58</f>
        <v>0</v>
      </c>
      <c r="V58" s="87">
        <f>'Request #19'!V58</f>
        <v>0</v>
      </c>
      <c r="W58" s="88">
        <f>SUMIF(F7:F79,47,E7:E79)</f>
        <v>0</v>
      </c>
      <c r="X58" s="88">
        <f>'Request #19'!Y58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#19'!AA58,"OK","Alert,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#19'!V59,"OK","Send in Change Order")</f>
        <v>OK</v>
      </c>
      <c r="S59" s="85">
        <v>48</v>
      </c>
      <c r="T59" s="86" t="str">
        <f>'Request #19'!T59</f>
        <v>Other Fees</v>
      </c>
      <c r="U59" s="218">
        <f>'Request #19'!U59</f>
        <v>0</v>
      </c>
      <c r="V59" s="87">
        <f>'Request #19'!V59</f>
        <v>0</v>
      </c>
      <c r="W59" s="88">
        <f>SUMIF(F7:F79,48,E7:E79)</f>
        <v>0</v>
      </c>
      <c r="X59" s="88">
        <f>'Request #19'!Y59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#19'!AA59,"OK","Alert,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#19'!V60,"OK","Send in Change Order")</f>
        <v>OK</v>
      </c>
      <c r="S60" s="85">
        <v>49</v>
      </c>
      <c r="T60" s="86" t="str">
        <f>'Request #19'!T60</f>
        <v>Other Fees</v>
      </c>
      <c r="U60" s="218">
        <f>'Request #19'!U60</f>
        <v>0</v>
      </c>
      <c r="V60" s="87">
        <f>'Request #19'!V60</f>
        <v>0</v>
      </c>
      <c r="W60" s="88">
        <f>SUMIF(F7:F79,49,E7:E79)</f>
        <v>0</v>
      </c>
      <c r="X60" s="88">
        <f>'Request #19'!Y60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#19'!AA60,"OK","Alert,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#19'!V61,"OK","Send in Change Order")</f>
        <v>OK</v>
      </c>
      <c r="S61" s="85">
        <v>50</v>
      </c>
      <c r="T61" s="86" t="str">
        <f>'Request #19'!T61</f>
        <v>Other Fees</v>
      </c>
      <c r="U61" s="218">
        <f>'Request #19'!U61</f>
        <v>0</v>
      </c>
      <c r="V61" s="87">
        <f>'Request #19'!V61</f>
        <v>0</v>
      </c>
      <c r="W61" s="88">
        <f>SUMIF(F7:F79,50,E7:E79)</f>
        <v>0</v>
      </c>
      <c r="X61" s="88">
        <f>'Request #19'!Y61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#19'!AA61,"OK","Alert,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#19'!V62,"OK","Send in Change Order")</f>
        <v>OK</v>
      </c>
      <c r="S62" s="85">
        <v>51</v>
      </c>
      <c r="T62" s="86" t="str">
        <f>'Request #19'!T62</f>
        <v>Other Fees</v>
      </c>
      <c r="U62" s="218">
        <f>'Request #19'!U62</f>
        <v>0</v>
      </c>
      <c r="V62" s="87">
        <f>'Request #19'!V62</f>
        <v>0</v>
      </c>
      <c r="W62" s="88">
        <f>SUMIF(F7:F79,51,E7:E79)</f>
        <v>0</v>
      </c>
      <c r="X62" s="88">
        <f>'Request #19'!Y62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#19'!AA62,"OK","Alert,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#19'!V63,"OK","Send in Change Order")</f>
        <v>OK</v>
      </c>
      <c r="S63" s="85">
        <v>52</v>
      </c>
      <c r="T63" s="86" t="str">
        <f>'Request #19'!T63</f>
        <v>Worked Performed by Owner</v>
      </c>
      <c r="U63" s="218">
        <f>'Request #19'!U63</f>
        <v>0</v>
      </c>
      <c r="V63" s="87">
        <f>'Request #19'!V63</f>
        <v>0</v>
      </c>
      <c r="W63" s="88">
        <f>SUMIF(F7:F79,52,E7:E79)</f>
        <v>0</v>
      </c>
      <c r="X63" s="88">
        <f>'Request #19'!Y63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#19'!AA63,"OK","Alert,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#19'!V64,"OK","Send in Change Order")</f>
        <v>OK</v>
      </c>
      <c r="S64" s="85">
        <v>53</v>
      </c>
      <c r="T64" s="86" t="str">
        <f>'Request #19'!T64</f>
        <v>Equipment (Major)</v>
      </c>
      <c r="U64" s="218">
        <f>'Request #19'!U64</f>
        <v>0</v>
      </c>
      <c r="V64" s="87">
        <f>'Request #19'!V64</f>
        <v>0</v>
      </c>
      <c r="W64" s="88">
        <f>SUMIF(F7:F79,53,E7:E79)</f>
        <v>0</v>
      </c>
      <c r="X64" s="88">
        <f>'Request #19'!Y64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#19'!AA64,"OK","Alert,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#19'!V65,"OK","Send in Change Order")</f>
        <v>OK</v>
      </c>
      <c r="S65" s="85">
        <v>54</v>
      </c>
      <c r="T65" s="102" t="s">
        <v>90</v>
      </c>
      <c r="U65" s="218">
        <f>'Request #19'!U65</f>
        <v>0</v>
      </c>
      <c r="V65" s="87">
        <f>'Request #19'!V65</f>
        <v>0</v>
      </c>
      <c r="W65" s="104"/>
      <c r="X65" s="88">
        <f>'Request #19'!Y65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#19'!AA65,"OK","Alert,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#19'!V66,"OK","Send in Change Order")</f>
        <v>OK</v>
      </c>
      <c r="S66" s="85">
        <v>55</v>
      </c>
      <c r="T66" s="86"/>
      <c r="U66" s="218">
        <f>'Request #19'!U66</f>
        <v>0</v>
      </c>
      <c r="V66" s="87">
        <f>'Request #19'!V66</f>
        <v>0</v>
      </c>
      <c r="W66" s="88">
        <f>SUMIF(F7:F79,55,E7:E79)</f>
        <v>0</v>
      </c>
      <c r="X66" s="88">
        <f>'Request #19'!Y66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#19'!AA66,"OK","Alert,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#19'!V67,"OK","Send in Change Order")</f>
        <v>OK</v>
      </c>
      <c r="S67" s="85">
        <v>56</v>
      </c>
      <c r="T67" s="79"/>
      <c r="U67" s="218">
        <f>'Request #19'!U67</f>
        <v>0</v>
      </c>
      <c r="V67" s="87">
        <f>'Request #19'!V67</f>
        <v>0</v>
      </c>
      <c r="W67" s="88">
        <f>SUMIF(F7:F79,56,E7:E79)</f>
        <v>0</v>
      </c>
      <c r="X67" s="88">
        <f>'Request #19'!Y67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#19'!AA67,"OK","Alert,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#19'!V68,"OK","Send in Change Order")</f>
        <v>OK</v>
      </c>
      <c r="S68" s="316" t="s">
        <v>60</v>
      </c>
      <c r="T68" s="317"/>
      <c r="U68" s="166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#19'!AA68,"OK","Alert,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108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167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190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119" t="e">
        <f>V72/V68</f>
        <v>#DIV/0!</v>
      </c>
      <c r="V72" s="88">
        <f>V68-V74-V73</f>
        <v>0</v>
      </c>
      <c r="W72" s="87">
        <v>0</v>
      </c>
      <c r="X72" s="88">
        <f>'Request #19'!Y72</f>
        <v>0</v>
      </c>
      <c r="Y72" s="88">
        <f t="shared" ref="Y72:Y73" si="8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#19'!V73,"OK","Send in Change Order")</f>
        <v>OK</v>
      </c>
      <c r="S73" s="86" t="s">
        <v>95</v>
      </c>
      <c r="T73" s="114"/>
      <c r="U73" s="119" t="e">
        <f>V73/V68</f>
        <v>#DIV/0!</v>
      </c>
      <c r="V73" s="87">
        <f>'Request #19'!V73</f>
        <v>0</v>
      </c>
      <c r="W73" s="87">
        <v>0</v>
      </c>
      <c r="X73" s="88">
        <f>'Request #19'!Y73</f>
        <v>0</v>
      </c>
      <c r="Y73" s="88">
        <f t="shared" si="8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#19'!V74,"OK","Send in Change Order")</f>
        <v>OK</v>
      </c>
      <c r="S74" s="120" t="s">
        <v>96</v>
      </c>
      <c r="T74" s="121"/>
      <c r="U74" s="119" t="e">
        <f>V74/V68</f>
        <v>#DIV/0!</v>
      </c>
      <c r="V74" s="87">
        <f>'Request #19'!V74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55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1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114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114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136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55"/>
      <c r="V80" s="55"/>
      <c r="W80" s="55"/>
      <c r="X80" s="138"/>
      <c r="Y80" s="45" t="s">
        <v>108</v>
      </c>
      <c r="Z80" s="43"/>
      <c r="AA80" s="88">
        <f>'Request #19'!AA79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20</v>
      </c>
      <c r="V87" s="55"/>
      <c r="W87" s="55"/>
      <c r="X87" s="138"/>
      <c r="Y87" s="45" t="s">
        <v>108</v>
      </c>
      <c r="Z87" s="43"/>
      <c r="AA87" s="88">
        <f>'Request #19'!AA86</f>
        <v>0</v>
      </c>
      <c r="AB87" s="110"/>
    </row>
    <row r="88" spans="1:28" ht="30" customHeight="1" thickBot="1" x14ac:dyDescent="0.35">
      <c r="S88" s="55"/>
      <c r="T88" s="55"/>
      <c r="U88" s="55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55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55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55"/>
      <c r="V91" s="55"/>
      <c r="W91" s="55"/>
      <c r="X91" s="55"/>
    </row>
    <row r="92" spans="1:28" ht="30" customHeight="1" x14ac:dyDescent="0.3">
      <c r="S92" s="55"/>
      <c r="T92" s="55"/>
      <c r="U92" s="55"/>
      <c r="V92" s="55"/>
      <c r="W92" s="55"/>
      <c r="X92" s="55"/>
    </row>
    <row r="93" spans="1:28" ht="30" customHeight="1" x14ac:dyDescent="0.3">
      <c r="S93" s="55"/>
      <c r="T93" s="55"/>
      <c r="U93" s="55"/>
      <c r="V93" s="55"/>
      <c r="W93" s="55"/>
      <c r="X93" s="55"/>
    </row>
    <row r="94" spans="1:28" ht="30" customHeight="1" x14ac:dyDescent="0.3">
      <c r="S94" s="55"/>
      <c r="T94" s="55"/>
      <c r="U94" s="55"/>
      <c r="V94" s="55"/>
      <c r="W94" s="55"/>
      <c r="X94" s="55"/>
    </row>
    <row r="95" spans="1:28" ht="30" customHeight="1" x14ac:dyDescent="0.3">
      <c r="S95" s="55"/>
      <c r="T95" s="55"/>
      <c r="U95" s="55"/>
      <c r="V95" s="55"/>
      <c r="W95" s="55"/>
      <c r="X95" s="55"/>
    </row>
    <row r="96" spans="1:28" ht="30" customHeight="1" x14ac:dyDescent="0.3">
      <c r="S96" s="55"/>
      <c r="T96" s="55"/>
      <c r="U96" s="55"/>
      <c r="V96" s="55"/>
      <c r="W96" s="55"/>
      <c r="X96" s="55"/>
    </row>
    <row r="97" spans="15:24" ht="30" customHeight="1" x14ac:dyDescent="0.3">
      <c r="S97" s="55"/>
      <c r="T97" s="55"/>
      <c r="U97" s="55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Pfay21FC2inLOSXfJbvOY5hAOBv0IB2HBjb0lvwSoQ1G6SkJB5heTd0h6cVUXEX8PXbMY51kYjjZuShWgCgYJA==" saltValue="PpLRiQRyJYuzVw3PP4QHkQ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260" priority="9" operator="containsText" text="Change">
      <formula>NOT(ISERROR(SEARCH("Change",R1)))</formula>
    </cfRule>
  </conditionalFormatting>
  <conditionalFormatting sqref="R45:R48">
    <cfRule type="cellIs" dxfId="259" priority="7" operator="equal">
      <formula>"Send in Change Order"</formula>
    </cfRule>
  </conditionalFormatting>
  <conditionalFormatting sqref="W68">
    <cfRule type="cellIs" dxfId="258" priority="2" operator="notEqual">
      <formula>$E$82</formula>
    </cfRule>
    <cfRule type="cellIs" dxfId="257" priority="3" operator="greaterThan">
      <formula>$E$82</formula>
    </cfRule>
    <cfRule type="cellIs" dxfId="256" priority="4" operator="notEqual">
      <formula>$E$82</formula>
    </cfRule>
  </conditionalFormatting>
  <conditionalFormatting sqref="Z12:Z44">
    <cfRule type="cellIs" dxfId="255" priority="8" operator="lessThan">
      <formula>0</formula>
    </cfRule>
  </conditionalFormatting>
  <conditionalFormatting sqref="Z49:Z68">
    <cfRule type="cellIs" dxfId="254" priority="5" operator="lessThan">
      <formula>0</formula>
    </cfRule>
  </conditionalFormatting>
  <conditionalFormatting sqref="AA68">
    <cfRule type="cellIs" dxfId="253" priority="1" operator="notEqual">
      <formula>$O$82</formula>
    </cfRule>
  </conditionalFormatting>
  <conditionalFormatting sqref="AB1:AB1048576">
    <cfRule type="containsText" dxfId="252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2" manualBreakCount="12">
    <brk id="6" max="88" man="1"/>
    <brk id="10" max="1048575" man="1"/>
    <brk id="16" max="88" man="1"/>
    <brk id="18" max="1048575" man="1"/>
    <brk id="27" max="88" man="1"/>
    <brk id="29" max="1048575" man="1"/>
    <brk id="51" max="1048575" man="1"/>
    <brk id="52" max="1048575" man="1"/>
    <brk id="99" max="1048575" man="1"/>
    <brk id="101" max="1048575" man="1"/>
    <brk id="110" max="1048575" man="1"/>
    <brk id="111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51" customWidth="1"/>
    <col min="10" max="10" width="8.88671875" style="40"/>
    <col min="11" max="11" width="17.77734375" style="39" customWidth="1"/>
    <col min="12" max="12" width="19.2187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9.33203125" style="50" customWidth="1"/>
    <col min="19" max="19" width="6.77734375" style="39" customWidth="1"/>
    <col min="20" max="20" width="30.88671875" style="39" customWidth="1"/>
    <col min="21" max="21" width="17.77734375" style="233" customWidth="1"/>
    <col min="22" max="27" width="18.88671875" style="39" customWidth="1"/>
    <col min="28" max="28" width="23.6640625" style="54" customWidth="1"/>
    <col min="29" max="29" width="8.88671875" style="40"/>
    <col min="30" max="30" width="16" style="39" customWidth="1"/>
    <col min="31" max="31" width="103.21875" style="39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232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234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21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234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52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234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235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36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37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21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215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#20'!V12,"OK","Send in Change Order")</f>
        <v>OK</v>
      </c>
      <c r="S12" s="85">
        <v>1</v>
      </c>
      <c r="T12" s="86" t="str">
        <f>'Request #20'!T12</f>
        <v>Land/Site Grading &amp; Improv.</v>
      </c>
      <c r="U12" s="215">
        <f>'Request #20'!U12</f>
        <v>0</v>
      </c>
      <c r="V12" s="87">
        <f>'Request #20'!V12</f>
        <v>0</v>
      </c>
      <c r="W12" s="88">
        <f>SUMIF(F7:F79,1,E7:E79)</f>
        <v>0</v>
      </c>
      <c r="X12" s="88">
        <f>'Request #20'!Y12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#20'!AA12,"OK","Alert,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#20'!V13,"OK","Send in Change Order")</f>
        <v>OK</v>
      </c>
      <c r="S13" s="85">
        <v>2</v>
      </c>
      <c r="T13" s="86" t="str">
        <f>'Request #20'!T13</f>
        <v xml:space="preserve">General Contract </v>
      </c>
      <c r="U13" s="218">
        <f>'Request #20'!U13</f>
        <v>0</v>
      </c>
      <c r="V13" s="87">
        <f>'Request #20'!V13</f>
        <v>0</v>
      </c>
      <c r="W13" s="88">
        <f>SUMIF(F7:F79,2,E7:E79)</f>
        <v>0</v>
      </c>
      <c r="X13" s="88">
        <f>'Request #20'!Y13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#20'!AA13,"OK","Alert,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#20'!V14,"OK","Send in Change Order")</f>
        <v>OK</v>
      </c>
      <c r="S14" s="85">
        <v>3</v>
      </c>
      <c r="T14" s="86" t="str">
        <f>'Request #20'!T14</f>
        <v>Designer Contract</v>
      </c>
      <c r="U14" s="218">
        <f>'Request #20'!U14</f>
        <v>0</v>
      </c>
      <c r="V14" s="87">
        <f>'Request #20'!V14</f>
        <v>0</v>
      </c>
      <c r="W14" s="88">
        <f>SUMIF(F7:F79,3,E7:E79)</f>
        <v>0</v>
      </c>
      <c r="X14" s="88">
        <f>'Request #20'!Y14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#20'!AA14,"OK","Alert,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#20'!V15,"OK","Send in Change Order")</f>
        <v>OK</v>
      </c>
      <c r="S15" s="85">
        <v>4</v>
      </c>
      <c r="T15" s="86" t="str">
        <f>'Request #20'!T15</f>
        <v>Designer Reimbursables</v>
      </c>
      <c r="U15" s="218">
        <f>'Request #20'!U15</f>
        <v>0</v>
      </c>
      <c r="V15" s="87">
        <f>'Request #20'!V15</f>
        <v>0</v>
      </c>
      <c r="W15" s="88">
        <f>SUMIF(F7:F79,4,E7:E79)</f>
        <v>0</v>
      </c>
      <c r="X15" s="88">
        <f>'Request #20'!Y15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#20'!AA15,"OK","Alert,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#20'!V16,"OK","Send in Change Order")</f>
        <v>OK</v>
      </c>
      <c r="S16" s="85">
        <v>5</v>
      </c>
      <c r="T16" s="86" t="str">
        <f>'Request #20'!T16</f>
        <v>Other Contracts</v>
      </c>
      <c r="U16" s="218">
        <f>'Request #20'!U16</f>
        <v>0</v>
      </c>
      <c r="V16" s="87">
        <f>'Request #20'!V16</f>
        <v>0</v>
      </c>
      <c r="W16" s="88">
        <f>SUMIF(F7:F79,5,E7:E79)</f>
        <v>0</v>
      </c>
      <c r="X16" s="88">
        <f>'Request #20'!Y16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#20'!AA16,"OK","Alert,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#20'!V17,"OK","Send in Change Order")</f>
        <v>OK</v>
      </c>
      <c r="S17" s="85">
        <v>6</v>
      </c>
      <c r="T17" s="86" t="str">
        <f>'Request #20'!T17</f>
        <v>Other Contracts</v>
      </c>
      <c r="U17" s="218">
        <f>'Request #20'!U17</f>
        <v>0</v>
      </c>
      <c r="V17" s="87">
        <f>'Request #20'!V17</f>
        <v>0</v>
      </c>
      <c r="W17" s="88">
        <f>SUMIF(F7:F79,6,E7:E79)</f>
        <v>0</v>
      </c>
      <c r="X17" s="88">
        <f>'Request #20'!Y17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#20'!AA17,"OK","Alert,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#20'!V18,"OK","Send in Change Order")</f>
        <v>OK</v>
      </c>
      <c r="S18" s="85">
        <v>7</v>
      </c>
      <c r="T18" s="86" t="str">
        <f>'Request #20'!T18</f>
        <v>Other Contracts</v>
      </c>
      <c r="U18" s="218">
        <f>'Request #20'!U18</f>
        <v>0</v>
      </c>
      <c r="V18" s="87">
        <f>'Request #20'!V18</f>
        <v>0</v>
      </c>
      <c r="W18" s="88">
        <f>SUMIF(F7:F79,7,E7:E79)</f>
        <v>0</v>
      </c>
      <c r="X18" s="88">
        <f>'Request #20'!Y18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#20'!AA18,"OK","Alert,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#20'!V19,"OK","Send in Change Order")</f>
        <v>OK</v>
      </c>
      <c r="S19" s="85">
        <v>8</v>
      </c>
      <c r="T19" s="86" t="str">
        <f>'Request #20'!T19</f>
        <v>Other Contracts</v>
      </c>
      <c r="U19" s="218">
        <f>'Request #20'!U19</f>
        <v>0</v>
      </c>
      <c r="V19" s="87">
        <f>'Request #20'!V19</f>
        <v>0</v>
      </c>
      <c r="W19" s="88">
        <f>SUMIF(F7:F79,8,E7:E79)</f>
        <v>0</v>
      </c>
      <c r="X19" s="88">
        <f>'Request #20'!Y19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#20'!AA19,"OK","Alert,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#20'!V20,"OK","Send in Change Order")</f>
        <v>OK</v>
      </c>
      <c r="S20" s="85">
        <v>9</v>
      </c>
      <c r="T20" s="86" t="str">
        <f>'Request #20'!T20</f>
        <v>Other Contracts</v>
      </c>
      <c r="U20" s="218">
        <f>'Request #20'!U20</f>
        <v>0</v>
      </c>
      <c r="V20" s="87">
        <f>'Request #20'!V20</f>
        <v>0</v>
      </c>
      <c r="W20" s="88">
        <f>SUMIF(F7:F79,9,E7:E79)</f>
        <v>0</v>
      </c>
      <c r="X20" s="88">
        <f>'Request #20'!Y20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#20'!AA20,"OK","Alert,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#20'!V21,"OK","Send in Change Order")</f>
        <v>OK</v>
      </c>
      <c r="S21" s="85">
        <v>10</v>
      </c>
      <c r="T21" s="86" t="str">
        <f>'Request #20'!T21</f>
        <v>Other Contracts</v>
      </c>
      <c r="U21" s="218">
        <f>'Request #20'!U21</f>
        <v>0</v>
      </c>
      <c r="V21" s="87">
        <f>'Request #20'!V21</f>
        <v>0</v>
      </c>
      <c r="W21" s="88">
        <f>SUMIF(F7:F79,10,E7:E79)</f>
        <v>0</v>
      </c>
      <c r="X21" s="88">
        <f>'Request #20'!Y21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#20'!AA21,"OK","Alert,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#20'!V22,"OK","Send in Change Order")</f>
        <v>OK</v>
      </c>
      <c r="S22" s="85">
        <v>11</v>
      </c>
      <c r="T22" s="86" t="str">
        <f>'Request #20'!T22</f>
        <v>Other Contracts</v>
      </c>
      <c r="U22" s="218">
        <f>'Request #20'!U22</f>
        <v>0</v>
      </c>
      <c r="V22" s="87">
        <f>'Request #20'!V22</f>
        <v>0</v>
      </c>
      <c r="W22" s="88">
        <f>SUMIF(F7:F79,11,E7:E79)</f>
        <v>0</v>
      </c>
      <c r="X22" s="88">
        <f>'Request #20'!Y22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#20'!AA22,"OK","Alert,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#20'!V23,"OK","Send in Change Order")</f>
        <v>OK</v>
      </c>
      <c r="S23" s="85">
        <v>12</v>
      </c>
      <c r="T23" s="86" t="str">
        <f>'Request #20'!T23</f>
        <v>Other Contracts</v>
      </c>
      <c r="U23" s="218">
        <f>'Request #20'!U23</f>
        <v>0</v>
      </c>
      <c r="V23" s="87">
        <f>'Request #20'!V23</f>
        <v>0</v>
      </c>
      <c r="W23" s="88">
        <f>SUMIF(F7:F79,12,E7:E79)</f>
        <v>0</v>
      </c>
      <c r="X23" s="88">
        <f>'Request #20'!Y23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#20'!AA23,"OK","Alert,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#20'!V24,"OK","Send in Change Order")</f>
        <v>OK</v>
      </c>
      <c r="S24" s="85">
        <v>13</v>
      </c>
      <c r="T24" s="86" t="str">
        <f>'Request #20'!T24</f>
        <v>Other Contracts</v>
      </c>
      <c r="U24" s="218">
        <f>'Request #20'!U24</f>
        <v>0</v>
      </c>
      <c r="V24" s="87">
        <f>'Request #20'!V24</f>
        <v>0</v>
      </c>
      <c r="W24" s="88">
        <f>SUMIF(F7:F79,13,E7:E79)</f>
        <v>0</v>
      </c>
      <c r="X24" s="88">
        <f>'Request #20'!Y24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#20'!AA24,"OK","Alert,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#20'!V25,"OK","Send in Change Order")</f>
        <v>OK</v>
      </c>
      <c r="S25" s="85">
        <v>14</v>
      </c>
      <c r="T25" s="86" t="str">
        <f>'Request #20'!T25</f>
        <v>Other Contracts</v>
      </c>
      <c r="U25" s="218">
        <f>'Request #20'!U25</f>
        <v>0</v>
      </c>
      <c r="V25" s="87">
        <f>'Request #20'!V25</f>
        <v>0</v>
      </c>
      <c r="W25" s="88">
        <f>SUMIF(F7:F79,14,E7:E79)</f>
        <v>0</v>
      </c>
      <c r="X25" s="88">
        <f>'Request #20'!Y25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#20'!AA25,"OK","Alert,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#20'!V26,"OK","Send in Change Order")</f>
        <v>OK</v>
      </c>
      <c r="S26" s="85">
        <v>15</v>
      </c>
      <c r="T26" s="86" t="str">
        <f>'Request #20'!T26</f>
        <v>Other Contracts</v>
      </c>
      <c r="U26" s="218">
        <f>'Request #20'!U26</f>
        <v>0</v>
      </c>
      <c r="V26" s="87">
        <f>'Request #20'!V26</f>
        <v>0</v>
      </c>
      <c r="W26" s="88">
        <f>SUMIF(F7:F79,15,E7:E79)</f>
        <v>0</v>
      </c>
      <c r="X26" s="88">
        <f>'Request #20'!Y26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#20'!AA26,"OK","Alert,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#20'!V27,"OK","Send in Change Order")</f>
        <v>OK</v>
      </c>
      <c r="S27" s="85">
        <v>16</v>
      </c>
      <c r="T27" s="86" t="str">
        <f>'Request #20'!T27</f>
        <v>Other Contracts</v>
      </c>
      <c r="U27" s="218">
        <f>'Request #20'!U27</f>
        <v>0</v>
      </c>
      <c r="V27" s="87">
        <f>'Request #20'!V27</f>
        <v>0</v>
      </c>
      <c r="W27" s="88">
        <f>SUMIF(F7:F79,16,E7:E79)</f>
        <v>0</v>
      </c>
      <c r="X27" s="88">
        <f>'Request #20'!Y27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#20'!AA27,"OK","Alert,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#20'!V28,"OK","Send in Change Order")</f>
        <v>OK</v>
      </c>
      <c r="S28" s="85">
        <v>17</v>
      </c>
      <c r="T28" s="86" t="str">
        <f>'Request #20'!T28</f>
        <v>Other Contracts</v>
      </c>
      <c r="U28" s="218">
        <f>'Request #20'!U28</f>
        <v>0</v>
      </c>
      <c r="V28" s="87">
        <f>'Request #20'!V28</f>
        <v>0</v>
      </c>
      <c r="W28" s="88">
        <f>SUMIF(F7:F79,17,E7:E79)</f>
        <v>0</v>
      </c>
      <c r="X28" s="88">
        <f>'Request #20'!Y28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#20'!AA28,"OK","Alert,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#20'!V29,"OK","Send in Change Order")</f>
        <v>OK</v>
      </c>
      <c r="S29" s="85">
        <v>18</v>
      </c>
      <c r="T29" s="86" t="str">
        <f>'Request #20'!T29</f>
        <v>Other Contracts</v>
      </c>
      <c r="U29" s="218">
        <f>'Request #20'!U29</f>
        <v>0</v>
      </c>
      <c r="V29" s="87">
        <f>'Request #20'!V29</f>
        <v>0</v>
      </c>
      <c r="W29" s="88">
        <f>SUMIF(F7:F79,18,E7:E79)</f>
        <v>0</v>
      </c>
      <c r="X29" s="88">
        <f>'Request #20'!Y29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#20'!AA29,"OK","Alert,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#20'!V30,"OK","Send in Change Order")</f>
        <v>OK</v>
      </c>
      <c r="S30" s="85">
        <v>19</v>
      </c>
      <c r="T30" s="86" t="str">
        <f>'Request #20'!T30</f>
        <v>Other Contracts</v>
      </c>
      <c r="U30" s="218">
        <f>'Request #20'!U30</f>
        <v>0</v>
      </c>
      <c r="V30" s="87">
        <f>'Request #20'!V30</f>
        <v>0</v>
      </c>
      <c r="W30" s="88">
        <f>SUMIF(F7:F79,19,E7:E79)</f>
        <v>0</v>
      </c>
      <c r="X30" s="88">
        <f>'Request #20'!Y30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#20'!AA30,"OK","Alert,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#20'!V31,"OK","Send in Change Order")</f>
        <v>OK</v>
      </c>
      <c r="S31" s="85">
        <v>20</v>
      </c>
      <c r="T31" s="86" t="str">
        <f>'Request #20'!T31</f>
        <v>Other Contracts</v>
      </c>
      <c r="U31" s="218">
        <f>'Request #20'!U31</f>
        <v>0</v>
      </c>
      <c r="V31" s="87">
        <f>'Request #20'!V31</f>
        <v>0</v>
      </c>
      <c r="W31" s="88">
        <f>SUMIF(F7:F79,20,E7:E79)</f>
        <v>0</v>
      </c>
      <c r="X31" s="88">
        <f>'Request #20'!Y31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#20'!AA31,"OK","Alert,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#20'!V32,"OK","Send in Change Order")</f>
        <v>OK</v>
      </c>
      <c r="S32" s="85">
        <v>21</v>
      </c>
      <c r="T32" s="86" t="str">
        <f>'Request #20'!T32</f>
        <v>Other Contracts</v>
      </c>
      <c r="U32" s="218">
        <f>'Request #20'!U32</f>
        <v>0</v>
      </c>
      <c r="V32" s="87">
        <f>'Request #20'!V32</f>
        <v>0</v>
      </c>
      <c r="W32" s="88">
        <f>SUMIF(F7:F79,21,E7:E79)</f>
        <v>0</v>
      </c>
      <c r="X32" s="88">
        <f>'Request #20'!Y32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#20'!AA32,"OK","Alert,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#20'!V33,"OK","Send in Change Order")</f>
        <v>OK</v>
      </c>
      <c r="S33" s="85">
        <v>22</v>
      </c>
      <c r="T33" s="86" t="str">
        <f>'Request #20'!T33</f>
        <v>Other Contracts</v>
      </c>
      <c r="U33" s="218">
        <f>'Request #20'!U33</f>
        <v>0</v>
      </c>
      <c r="V33" s="87">
        <f>'Request #20'!V33</f>
        <v>0</v>
      </c>
      <c r="W33" s="88">
        <f>SUMIF(F7:F79,22,E7:E79)</f>
        <v>0</v>
      </c>
      <c r="X33" s="88">
        <f>'Request #20'!Y33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#20'!AA33,"OK","Alert,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#20'!V34,"OK","Send in Change Order")</f>
        <v>OK</v>
      </c>
      <c r="S34" s="85">
        <v>23</v>
      </c>
      <c r="T34" s="86" t="str">
        <f>'Request #20'!T34</f>
        <v>Other Contracts</v>
      </c>
      <c r="U34" s="218">
        <f>'Request #20'!U34</f>
        <v>0</v>
      </c>
      <c r="V34" s="87">
        <f>'Request #20'!V34</f>
        <v>0</v>
      </c>
      <c r="W34" s="88">
        <f>SUMIF(F7:F79,23,E7:E79)</f>
        <v>0</v>
      </c>
      <c r="X34" s="88">
        <f>'Request #20'!Y34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#20'!AA34,"OK","Alert,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#20'!V35,"OK","Send in Change Order")</f>
        <v>OK</v>
      </c>
      <c r="S35" s="85">
        <v>24</v>
      </c>
      <c r="T35" s="86" t="str">
        <f>'Request #20'!T35</f>
        <v>Other Contracts</v>
      </c>
      <c r="U35" s="218">
        <f>'Request #20'!U35</f>
        <v>0</v>
      </c>
      <c r="V35" s="87">
        <f>'Request #20'!V35</f>
        <v>0</v>
      </c>
      <c r="W35" s="88">
        <f>SUMIF(F7:F79,24,E7:E79)</f>
        <v>0</v>
      </c>
      <c r="X35" s="88">
        <f>'Request #20'!Y35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#20'!AA35,"OK","Alert,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#20'!V36,"OK","Send in Change Order")</f>
        <v>OK</v>
      </c>
      <c r="S36" s="85">
        <v>25</v>
      </c>
      <c r="T36" s="86" t="str">
        <f>'Request #20'!T36</f>
        <v>Other Contracts</v>
      </c>
      <c r="U36" s="218">
        <f>'Request #20'!U36</f>
        <v>0</v>
      </c>
      <c r="V36" s="87">
        <f>'Request #20'!V36</f>
        <v>0</v>
      </c>
      <c r="W36" s="88">
        <f>SUMIF(F7:F79,25,E7:E79)</f>
        <v>0</v>
      </c>
      <c r="X36" s="88">
        <f>'Request #20'!Y36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#20'!AA36,"OK","Alert,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#20'!V37,"OK","Send in Change Order")</f>
        <v>OK</v>
      </c>
      <c r="S37" s="85">
        <v>26</v>
      </c>
      <c r="T37" s="86" t="str">
        <f>'Request #20'!T37</f>
        <v>Other Fees</v>
      </c>
      <c r="U37" s="218">
        <f>'Request #20'!U37</f>
        <v>0</v>
      </c>
      <c r="V37" s="87">
        <f>'Request #20'!V37</f>
        <v>0</v>
      </c>
      <c r="W37" s="88">
        <f>SUMIF(F7:F79,26,E7:E79)</f>
        <v>0</v>
      </c>
      <c r="X37" s="88">
        <f>'Request #20'!Y37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#20'!AA37,"OK","Alert,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#20'!V38,"OK","Send in Change Order")</f>
        <v>OK</v>
      </c>
      <c r="S38" s="85">
        <v>27</v>
      </c>
      <c r="T38" s="86" t="str">
        <f>'Request #20'!T38</f>
        <v>Other Fees</v>
      </c>
      <c r="U38" s="218">
        <f>'Request #20'!U38</f>
        <v>0</v>
      </c>
      <c r="V38" s="87">
        <f>'Request #20'!V38</f>
        <v>0</v>
      </c>
      <c r="W38" s="88">
        <f>SUMIF(F7:F79,27,E7:E79)</f>
        <v>0</v>
      </c>
      <c r="X38" s="88">
        <f>'Request #20'!Y38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#20'!AA38,"OK","Alert,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#20'!V39,"OK","Send in Change Order")</f>
        <v>OK</v>
      </c>
      <c r="S39" s="85">
        <v>28</v>
      </c>
      <c r="T39" s="86" t="str">
        <f>'Request #20'!T39</f>
        <v>Other Fees</v>
      </c>
      <c r="U39" s="218">
        <f>'Request #20'!U39</f>
        <v>0</v>
      </c>
      <c r="V39" s="87">
        <f>'Request #20'!V39</f>
        <v>0</v>
      </c>
      <c r="W39" s="88">
        <f>SUMIF(F7:F79,28,E7:E79)</f>
        <v>0</v>
      </c>
      <c r="X39" s="88">
        <f>'Request #20'!Y39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#20'!AA39,"OK","Alert,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#20'!V40,"OK","Send in Change Order")</f>
        <v>OK</v>
      </c>
      <c r="S40" s="85">
        <v>29</v>
      </c>
      <c r="T40" s="86" t="str">
        <f>'Request #20'!T40</f>
        <v>Other Fees</v>
      </c>
      <c r="U40" s="218">
        <f>'Request #20'!U40</f>
        <v>0</v>
      </c>
      <c r="V40" s="87">
        <f>'Request #20'!V40</f>
        <v>0</v>
      </c>
      <c r="W40" s="88">
        <f>SUMIF(F7:F79,29,E7:E79)</f>
        <v>0</v>
      </c>
      <c r="X40" s="88">
        <f>'Request #20'!Y40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#20'!AA40,"OK","Alert,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#20'!V41,"OK","Send in Change Order")</f>
        <v>OK</v>
      </c>
      <c r="S41" s="85">
        <v>30</v>
      </c>
      <c r="T41" s="86" t="str">
        <f>'Request #20'!T41</f>
        <v>Other Fees</v>
      </c>
      <c r="U41" s="218">
        <f>'Request #20'!U41</f>
        <v>0</v>
      </c>
      <c r="V41" s="87">
        <f>'Request #20'!V41</f>
        <v>0</v>
      </c>
      <c r="W41" s="88">
        <f>SUMIF(F7:F79,30,E7:E79)</f>
        <v>0</v>
      </c>
      <c r="X41" s="88">
        <f>'Request #20'!Y41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#20'!AA41,"OK","Alert,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#20'!V42,"OK","Send in Change Order")</f>
        <v>OK</v>
      </c>
      <c r="S42" s="85">
        <v>31</v>
      </c>
      <c r="T42" s="86" t="str">
        <f>'Request #20'!T42</f>
        <v>Other Fees</v>
      </c>
      <c r="U42" s="218">
        <f>'Request #20'!U42</f>
        <v>0</v>
      </c>
      <c r="V42" s="87">
        <f>'Request #20'!V42</f>
        <v>0</v>
      </c>
      <c r="W42" s="88">
        <f>SUMIF(F7:F79,31,E7:E79)</f>
        <v>0</v>
      </c>
      <c r="X42" s="88">
        <f>'Request #20'!Y42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#20'!AA42,"OK","Alert,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#20'!V43,"OK","Send in Change Order")</f>
        <v>OK</v>
      </c>
      <c r="S43" s="85">
        <v>32</v>
      </c>
      <c r="T43" s="86" t="str">
        <f>'Request #20'!T43</f>
        <v>Other Fees</v>
      </c>
      <c r="U43" s="218">
        <f>'Request #20'!U43</f>
        <v>0</v>
      </c>
      <c r="V43" s="87">
        <f>'Request #20'!V43</f>
        <v>0</v>
      </c>
      <c r="W43" s="88">
        <f>SUMIF(F7:F79,32,E7:E79)</f>
        <v>0</v>
      </c>
      <c r="X43" s="88">
        <f>'Request #20'!Y43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#20'!AA43,"OK","Alert,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#20'!V44,"OK","Send in Change Order")</f>
        <v>OK</v>
      </c>
      <c r="S44" s="85">
        <v>33</v>
      </c>
      <c r="T44" s="86" t="str">
        <f>'Request #20'!T44</f>
        <v>Other Fees</v>
      </c>
      <c r="U44" s="218">
        <f>'Request #20'!U44</f>
        <v>0</v>
      </c>
      <c r="V44" s="87">
        <f>'Request #20'!V44</f>
        <v>0</v>
      </c>
      <c r="W44" s="88">
        <f>SUMIF(F7:F79,33,E7:E79)</f>
        <v>0</v>
      </c>
      <c r="X44" s="88">
        <f>'Request #20'!Y44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#20'!AA44,"OK","Alert,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#20'!V49,"OK","Send in Change Order")</f>
        <v>OK</v>
      </c>
      <c r="S49" s="85">
        <v>38</v>
      </c>
      <c r="T49" s="86" t="str">
        <f>'Request #20'!T49</f>
        <v>Other Fees</v>
      </c>
      <c r="U49" s="218">
        <f>'Request #20'!U49</f>
        <v>0</v>
      </c>
      <c r="V49" s="87">
        <f>'Request #20'!V49</f>
        <v>0</v>
      </c>
      <c r="W49" s="88">
        <f>SUMIF(F7:F79,38,E7:E79)</f>
        <v>0</v>
      </c>
      <c r="X49" s="88">
        <f>'Request #20'!Y49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#20'!AA49,"OK","Alert,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#20'!V50,"OK","Send in Change Order")</f>
        <v>OK</v>
      </c>
      <c r="S50" s="85">
        <v>39</v>
      </c>
      <c r="T50" s="86" t="str">
        <f>'Request #20'!T50</f>
        <v>Other Fees</v>
      </c>
      <c r="U50" s="218">
        <f>'Request #20'!U50</f>
        <v>0</v>
      </c>
      <c r="V50" s="87">
        <f>'Request #20'!V50</f>
        <v>0</v>
      </c>
      <c r="W50" s="88">
        <f>SUMIF(F7:F79,39,E7:E79)</f>
        <v>0</v>
      </c>
      <c r="X50" s="88">
        <f>'Request #20'!Y50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#20'!AA50,"OK","Alert,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#20'!V51,"OK","Send in Change Order")</f>
        <v>OK</v>
      </c>
      <c r="S51" s="85">
        <v>40</v>
      </c>
      <c r="T51" s="86" t="str">
        <f>'Request #20'!T51</f>
        <v>Other Fees</v>
      </c>
      <c r="U51" s="218">
        <f>'Request #20'!U51</f>
        <v>0</v>
      </c>
      <c r="V51" s="87">
        <f>'Request #20'!V51</f>
        <v>0</v>
      </c>
      <c r="W51" s="88">
        <f>SUMIF(F7:F79,40,E7:E79)</f>
        <v>0</v>
      </c>
      <c r="X51" s="88">
        <f>'Request #20'!Y51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#20'!AA51,"OK","Alert,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#20'!V52,"OK","Send in Change Order")</f>
        <v>OK</v>
      </c>
      <c r="S52" s="85">
        <v>41</v>
      </c>
      <c r="T52" s="86" t="str">
        <f>'Request #20'!T52</f>
        <v>Other Fees</v>
      </c>
      <c r="U52" s="218">
        <f>'Request #20'!U52</f>
        <v>0</v>
      </c>
      <c r="V52" s="87">
        <f>'Request #20'!V52</f>
        <v>0</v>
      </c>
      <c r="W52" s="88">
        <f>SUMIF(F7:F79,41,E7:E79)</f>
        <v>0</v>
      </c>
      <c r="X52" s="88">
        <f>'Request #20'!Y52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#20'!AA52,"OK","Alert,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#20'!V53,"OK","Send in Change Order")</f>
        <v>OK</v>
      </c>
      <c r="S53" s="85">
        <v>42</v>
      </c>
      <c r="T53" s="86" t="str">
        <f>'Request #20'!T53</f>
        <v>Other Fees</v>
      </c>
      <c r="U53" s="218">
        <f>'Request #20'!U53</f>
        <v>0</v>
      </c>
      <c r="V53" s="87">
        <f>'Request #20'!V53</f>
        <v>0</v>
      </c>
      <c r="W53" s="88">
        <f>SUMIF(F7:F79,42,E7:E79)</f>
        <v>0</v>
      </c>
      <c r="X53" s="88">
        <f>'Request #20'!Y53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#20'!AA53,"OK","Alert,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#20'!V54,"OK","Send in Change Order")</f>
        <v>OK</v>
      </c>
      <c r="S54" s="85">
        <v>43</v>
      </c>
      <c r="T54" s="86" t="str">
        <f>'Request #20'!T54</f>
        <v>Other Fees</v>
      </c>
      <c r="U54" s="218">
        <f>'Request #20'!U54</f>
        <v>0</v>
      </c>
      <c r="V54" s="87">
        <f>'Request #20'!V54</f>
        <v>0</v>
      </c>
      <c r="W54" s="88">
        <f>SUMIF(F7:F79,43,E7:E79)</f>
        <v>0</v>
      </c>
      <c r="X54" s="88">
        <f>'Request #20'!Y54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#20'!AA54,"OK","Alert,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#20'!V55,"OK","Send in Change Order")</f>
        <v>OK</v>
      </c>
      <c r="S55" s="85">
        <v>44</v>
      </c>
      <c r="T55" s="86" t="str">
        <f>'Request #20'!T55</f>
        <v>Other Fees</v>
      </c>
      <c r="U55" s="218">
        <f>'Request #20'!U55</f>
        <v>0</v>
      </c>
      <c r="V55" s="87">
        <f>'Request #20'!V55</f>
        <v>0</v>
      </c>
      <c r="W55" s="88">
        <f>SUMIF(F7:F79,44,E7:E79)</f>
        <v>0</v>
      </c>
      <c r="X55" s="88">
        <f>'Request #20'!Y55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#20'!AA55,"OK","Alert,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#20'!V56,"OK","Send in Change Order")</f>
        <v>OK</v>
      </c>
      <c r="S56" s="85">
        <v>45</v>
      </c>
      <c r="T56" s="86" t="str">
        <f>'Request #20'!T56</f>
        <v>Other Fees</v>
      </c>
      <c r="U56" s="218">
        <f>'Request #20'!U56</f>
        <v>0</v>
      </c>
      <c r="V56" s="87">
        <f>'Request #20'!V56</f>
        <v>0</v>
      </c>
      <c r="W56" s="88">
        <f>SUMIF(F7:F79,45,E7:E79)</f>
        <v>0</v>
      </c>
      <c r="X56" s="88">
        <f>'Request #20'!Y56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#20'!AA56,"OK","Alert,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#20'!V57,"OK","Send in Change Order")</f>
        <v>OK</v>
      </c>
      <c r="S57" s="85">
        <v>46</v>
      </c>
      <c r="T57" s="86" t="str">
        <f>'Request #20'!T57</f>
        <v>Other Fees</v>
      </c>
      <c r="U57" s="218">
        <f>'Request #20'!U57</f>
        <v>0</v>
      </c>
      <c r="V57" s="87">
        <f>'Request #20'!V57</f>
        <v>0</v>
      </c>
      <c r="W57" s="88">
        <f>SUMIF(F7:F79,46,E7:E79)</f>
        <v>0</v>
      </c>
      <c r="X57" s="88">
        <f>'Request #20'!Y57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#20'!AA57,"OK","Alert,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#20'!V58,"OK","Send in Change Order")</f>
        <v>OK</v>
      </c>
      <c r="S58" s="85">
        <v>47</v>
      </c>
      <c r="T58" s="86" t="str">
        <f>'Request #20'!T58</f>
        <v>Other Fees</v>
      </c>
      <c r="U58" s="218">
        <f>'Request #20'!U58</f>
        <v>0</v>
      </c>
      <c r="V58" s="87">
        <f>'Request #20'!V58</f>
        <v>0</v>
      </c>
      <c r="W58" s="88">
        <f>SUMIF(F7:F79,47,E7:E79)</f>
        <v>0</v>
      </c>
      <c r="X58" s="88">
        <f>'Request #20'!Y58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#20'!AA58,"OK","Alert,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#20'!V59,"OK","Send in Change Order")</f>
        <v>OK</v>
      </c>
      <c r="S59" s="85">
        <v>48</v>
      </c>
      <c r="T59" s="86" t="str">
        <f>'Request #20'!T59</f>
        <v>Other Fees</v>
      </c>
      <c r="U59" s="218">
        <f>'Request #20'!U59</f>
        <v>0</v>
      </c>
      <c r="V59" s="87">
        <f>'Request #20'!V59</f>
        <v>0</v>
      </c>
      <c r="W59" s="88">
        <f>SUMIF(F7:F79,48,E7:E79)</f>
        <v>0</v>
      </c>
      <c r="X59" s="88">
        <f>'Request #20'!Y59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#20'!AA59,"OK","Alert,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#20'!V60,"OK","Send in Change Order")</f>
        <v>OK</v>
      </c>
      <c r="S60" s="85">
        <v>49</v>
      </c>
      <c r="T60" s="86" t="str">
        <f>'Request #20'!T60</f>
        <v>Other Fees</v>
      </c>
      <c r="U60" s="218">
        <f>'Request #20'!U60</f>
        <v>0</v>
      </c>
      <c r="V60" s="87">
        <f>'Request #20'!V60</f>
        <v>0</v>
      </c>
      <c r="W60" s="88">
        <f>SUMIF(F7:F79,49,E7:E79)</f>
        <v>0</v>
      </c>
      <c r="X60" s="88">
        <f>'Request #20'!Y60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#20'!AA60,"OK","Alert,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#20'!V61,"OK","Send in Change Order")</f>
        <v>OK</v>
      </c>
      <c r="S61" s="85">
        <v>50</v>
      </c>
      <c r="T61" s="86" t="str">
        <f>'Request #20'!T61</f>
        <v>Other Fees</v>
      </c>
      <c r="U61" s="218">
        <f>'Request #20'!U61</f>
        <v>0</v>
      </c>
      <c r="V61" s="87">
        <f>'Request #20'!V61</f>
        <v>0</v>
      </c>
      <c r="W61" s="88">
        <f>SUMIF(F7:F79,50,E7:E79)</f>
        <v>0</v>
      </c>
      <c r="X61" s="88">
        <f>'Request #20'!Y61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#20'!AA61,"OK","Alert,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#20'!V62,"OK","Send in Change Order")</f>
        <v>OK</v>
      </c>
      <c r="S62" s="85">
        <v>51</v>
      </c>
      <c r="T62" s="86" t="str">
        <f>'Request #20'!T62</f>
        <v>Other Fees</v>
      </c>
      <c r="U62" s="218">
        <f>'Request #20'!U62</f>
        <v>0</v>
      </c>
      <c r="V62" s="87">
        <f>'Request #20'!V62</f>
        <v>0</v>
      </c>
      <c r="W62" s="88">
        <f>SUMIF(F7:F79,51,E7:E79)</f>
        <v>0</v>
      </c>
      <c r="X62" s="88">
        <f>'Request #20'!Y62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#20'!AA62,"OK","Alert,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#20'!V63,"OK","Send in Change Order")</f>
        <v>OK</v>
      </c>
      <c r="S63" s="85">
        <v>52</v>
      </c>
      <c r="T63" s="86" t="str">
        <f>'Request #20'!T63</f>
        <v>Worked Performed by Owner</v>
      </c>
      <c r="U63" s="218">
        <f>'Request #20'!U63</f>
        <v>0</v>
      </c>
      <c r="V63" s="87">
        <f>'Request #20'!V63</f>
        <v>0</v>
      </c>
      <c r="W63" s="88">
        <f>SUMIF(F7:F79,52,E7:E79)</f>
        <v>0</v>
      </c>
      <c r="X63" s="88">
        <f>'Request #20'!Y63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#20'!AA63,"OK","Alert,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#20'!V64,"OK","Send in Change Order")</f>
        <v>OK</v>
      </c>
      <c r="S64" s="85">
        <v>53</v>
      </c>
      <c r="T64" s="86" t="str">
        <f>'Request #20'!T64</f>
        <v>Equipment (Major)</v>
      </c>
      <c r="U64" s="218">
        <f>'Request #20'!U64</f>
        <v>0</v>
      </c>
      <c r="V64" s="87">
        <f>'Request #20'!V64</f>
        <v>0</v>
      </c>
      <c r="W64" s="88">
        <f>SUMIF(F7:F79,53,E7:E79)</f>
        <v>0</v>
      </c>
      <c r="X64" s="88">
        <f>'Request #20'!Y64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#20'!AA64,"OK","Alert,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#20'!V65,"OK","Send in Change Order")</f>
        <v>OK</v>
      </c>
      <c r="S65" s="85">
        <v>54</v>
      </c>
      <c r="T65" s="102" t="s">
        <v>90</v>
      </c>
      <c r="U65" s="218">
        <f>'Request #20'!U65</f>
        <v>0</v>
      </c>
      <c r="V65" s="87">
        <f>'Request #20'!V65</f>
        <v>0</v>
      </c>
      <c r="W65" s="104"/>
      <c r="X65" s="88">
        <f>'Request #20'!Y65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#20'!AA65,"OK","Alert,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#20'!V66,"OK","Send in Change Order")</f>
        <v>OK</v>
      </c>
      <c r="S66" s="85">
        <v>55</v>
      </c>
      <c r="T66" s="86"/>
      <c r="U66" s="218">
        <f>'Request #20'!U66</f>
        <v>0</v>
      </c>
      <c r="V66" s="87">
        <f>'Request #20'!V66</f>
        <v>0</v>
      </c>
      <c r="W66" s="88">
        <f>SUMIF(F7:F79,55,E7:E79)</f>
        <v>0</v>
      </c>
      <c r="X66" s="88">
        <f>'Request #20'!Y66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#20'!AA66,"OK","Alert,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#20'!V67,"OK","Send in Change Order")</f>
        <v>OK</v>
      </c>
      <c r="S67" s="85">
        <v>56</v>
      </c>
      <c r="T67" s="79"/>
      <c r="U67" s="218">
        <f>'Request #20'!U67</f>
        <v>0</v>
      </c>
      <c r="V67" s="87">
        <f>'Request #20'!V67</f>
        <v>0</v>
      </c>
      <c r="W67" s="88">
        <f>SUMIF(F7:F79,56,E7:E79)</f>
        <v>0</v>
      </c>
      <c r="X67" s="88">
        <f>'Request #20'!Y67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#20'!AA67,"OK","Alert,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#20'!V68,"OK","Send in Change Order")</f>
        <v>OK</v>
      </c>
      <c r="S68" s="316" t="s">
        <v>60</v>
      </c>
      <c r="T68" s="317"/>
      <c r="U68" s="224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#20'!AA68,"OK","Alert,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38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226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39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40" t="e">
        <f>V72/V68</f>
        <v>#DIV/0!</v>
      </c>
      <c r="V72" s="88">
        <f>V68-V74-V73</f>
        <v>0</v>
      </c>
      <c r="W72" s="87">
        <v>0</v>
      </c>
      <c r="X72" s="88">
        <f>'Request #20'!Y72</f>
        <v>0</v>
      </c>
      <c r="Y72" s="88">
        <f t="shared" ref="Y72:Y73" si="8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#20'!V73,"OK","Send in Change Order")</f>
        <v>OK</v>
      </c>
      <c r="S73" s="86" t="s">
        <v>95</v>
      </c>
      <c r="T73" s="114"/>
      <c r="U73" s="240" t="e">
        <f>V73/V68</f>
        <v>#DIV/0!</v>
      </c>
      <c r="V73" s="87">
        <f>'Request #20'!V73</f>
        <v>0</v>
      </c>
      <c r="W73" s="87">
        <v>0</v>
      </c>
      <c r="X73" s="88">
        <f>'Request #20'!Y73</f>
        <v>0</v>
      </c>
      <c r="Y73" s="88">
        <f t="shared" si="8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#20'!V74,"OK","Send in Change Order")</f>
        <v>OK</v>
      </c>
      <c r="S74" s="120" t="s">
        <v>96</v>
      </c>
      <c r="T74" s="121"/>
      <c r="U74" s="240" t="e">
        <f>V74/V68</f>
        <v>#DIV/0!</v>
      </c>
      <c r="V74" s="87">
        <f>'Request #20'!V74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235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41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42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42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43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235"/>
      <c r="V80" s="55"/>
      <c r="W80" s="55"/>
      <c r="X80" s="138"/>
      <c r="Y80" s="45" t="s">
        <v>108</v>
      </c>
      <c r="Z80" s="43"/>
      <c r="AA80" s="88">
        <f>'Request #20'!AA79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53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54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54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54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54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21</v>
      </c>
      <c r="V87" s="55"/>
      <c r="W87" s="55"/>
      <c r="X87" s="138"/>
      <c r="Y87" s="45" t="s">
        <v>108</v>
      </c>
      <c r="Z87" s="43"/>
      <c r="AA87" s="88">
        <f>'Request #20'!AA86</f>
        <v>0</v>
      </c>
      <c r="AB87" s="110"/>
    </row>
    <row r="88" spans="1:28" ht="30" customHeight="1" thickBot="1" x14ac:dyDescent="0.35">
      <c r="S88" s="55"/>
      <c r="T88" s="55"/>
      <c r="U88" s="235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235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235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235"/>
      <c r="V91" s="55"/>
      <c r="W91" s="55"/>
      <c r="X91" s="55"/>
    </row>
    <row r="92" spans="1:28" ht="30" customHeight="1" x14ac:dyDescent="0.3">
      <c r="S92" s="55"/>
      <c r="T92" s="55"/>
      <c r="U92" s="235"/>
      <c r="V92" s="55"/>
      <c r="W92" s="55"/>
      <c r="X92" s="55"/>
    </row>
    <row r="93" spans="1:28" ht="30" customHeight="1" x14ac:dyDescent="0.3">
      <c r="S93" s="55"/>
      <c r="T93" s="55"/>
      <c r="U93" s="235"/>
      <c r="V93" s="55"/>
      <c r="W93" s="55"/>
      <c r="X93" s="55"/>
    </row>
    <row r="94" spans="1:28" ht="30" customHeight="1" x14ac:dyDescent="0.3">
      <c r="S94" s="55"/>
      <c r="T94" s="55"/>
      <c r="U94" s="235"/>
      <c r="V94" s="55"/>
      <c r="W94" s="55"/>
      <c r="X94" s="55"/>
    </row>
    <row r="95" spans="1:28" ht="30" customHeight="1" x14ac:dyDescent="0.3">
      <c r="S95" s="55"/>
      <c r="T95" s="55"/>
      <c r="U95" s="235"/>
      <c r="V95" s="55"/>
      <c r="W95" s="55"/>
      <c r="X95" s="55"/>
    </row>
    <row r="96" spans="1:28" ht="30" customHeight="1" x14ac:dyDescent="0.3">
      <c r="S96" s="55"/>
      <c r="T96" s="55"/>
      <c r="U96" s="235"/>
      <c r="V96" s="55"/>
      <c r="W96" s="55"/>
      <c r="X96" s="55"/>
    </row>
    <row r="97" spans="15:24" ht="30" customHeight="1" x14ac:dyDescent="0.3">
      <c r="S97" s="55"/>
      <c r="T97" s="55"/>
      <c r="U97" s="235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TKNLCjYpuQEqZDhTXdlPi4sj+acE7yI24lxB0w8hJExJoXYlAjgW1ZBebhSMbjNpLFDzXYSY9/Qhk4jy+o323g==" saltValue="FY2/0QpYH3xI4/RRG6oMiw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251" priority="9" operator="containsText" text="Change">
      <formula>NOT(ISERROR(SEARCH("Change",R1)))</formula>
    </cfRule>
  </conditionalFormatting>
  <conditionalFormatting sqref="R45:R48">
    <cfRule type="cellIs" dxfId="250" priority="7" operator="equal">
      <formula>"Send in Change Order"</formula>
    </cfRule>
  </conditionalFormatting>
  <conditionalFormatting sqref="W68">
    <cfRule type="cellIs" dxfId="249" priority="2" operator="notEqual">
      <formula>$E$82</formula>
    </cfRule>
    <cfRule type="cellIs" dxfId="248" priority="3" operator="greaterThan">
      <formula>$E$82</formula>
    </cfRule>
    <cfRule type="cellIs" dxfId="247" priority="4" operator="notEqual">
      <formula>$E$82</formula>
    </cfRule>
  </conditionalFormatting>
  <conditionalFormatting sqref="Z12:Z44">
    <cfRule type="cellIs" dxfId="246" priority="8" operator="lessThan">
      <formula>0</formula>
    </cfRule>
  </conditionalFormatting>
  <conditionalFormatting sqref="Z49:Z68">
    <cfRule type="cellIs" dxfId="245" priority="5" operator="lessThan">
      <formula>0</formula>
    </cfRule>
  </conditionalFormatting>
  <conditionalFormatting sqref="AA68">
    <cfRule type="cellIs" dxfId="244" priority="1" operator="notEqual">
      <formula>$O$82</formula>
    </cfRule>
  </conditionalFormatting>
  <conditionalFormatting sqref="AB1:AB1048576">
    <cfRule type="containsText" dxfId="243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2" manualBreakCount="12">
    <brk id="6" max="88" man="1"/>
    <brk id="10" max="1048575" man="1"/>
    <brk id="16" max="88" man="1"/>
    <brk id="18" max="1048575" man="1"/>
    <brk id="27" max="88" man="1"/>
    <brk id="29" max="1048575" man="1"/>
    <brk id="51" max="1048575" man="1"/>
    <brk id="52" max="1048575" man="1"/>
    <brk id="99" max="1048575" man="1"/>
    <brk id="101" max="1048575" man="1"/>
    <brk id="110" max="1048575" man="1"/>
    <brk id="11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2187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7.88671875" style="50" customWidth="1"/>
    <col min="19" max="19" width="6.44140625" style="39" customWidth="1"/>
    <col min="20" max="20" width="30.5546875" style="39" customWidth="1"/>
    <col min="21" max="21" width="17.77734375" style="219" customWidth="1"/>
    <col min="22" max="27" width="18.88671875" style="39" customWidth="1"/>
    <col min="28" max="28" width="26.109375" style="54" customWidth="1"/>
    <col min="29" max="29" width="8.88671875" style="40"/>
    <col min="30" max="30" width="16" style="39" customWidth="1"/>
    <col min="31" max="31" width="103.21875" style="39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220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22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220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220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221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22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23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22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218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#21'!V12,"OK","Send in Change Order")</f>
        <v>OK</v>
      </c>
      <c r="S12" s="85">
        <v>1</v>
      </c>
      <c r="T12" s="86" t="str">
        <f>'Request #21'!T12</f>
        <v>Land/Site Grading &amp; Improv.</v>
      </c>
      <c r="U12" s="218">
        <f>'Request #21'!U12</f>
        <v>0</v>
      </c>
      <c r="V12" s="87">
        <f>'Request #21'!V12</f>
        <v>0</v>
      </c>
      <c r="W12" s="88">
        <f>SUMIF(F7:F79,1,E7:E79)</f>
        <v>0</v>
      </c>
      <c r="X12" s="88">
        <f>'Request #21'!Y12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#21'!AA12,"OK","Alert,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#21'!V13,"OK","Send in Change Order")</f>
        <v>OK</v>
      </c>
      <c r="S13" s="85">
        <v>2</v>
      </c>
      <c r="T13" s="86" t="str">
        <f>'Request #21'!T13</f>
        <v xml:space="preserve">General Contract </v>
      </c>
      <c r="U13" s="218">
        <f>'Request #21'!U13</f>
        <v>0</v>
      </c>
      <c r="V13" s="87">
        <f>'Request #21'!V13</f>
        <v>0</v>
      </c>
      <c r="W13" s="88">
        <f>SUMIF(F7:F79,2,E7:E79)</f>
        <v>0</v>
      </c>
      <c r="X13" s="88">
        <f>'Request #21'!Y13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#21'!AA13,"OK","Alert,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#21'!V14,"OK","Send in Change Order")</f>
        <v>OK</v>
      </c>
      <c r="S14" s="85">
        <v>3</v>
      </c>
      <c r="T14" s="86" t="str">
        <f>'Request #21'!T14</f>
        <v>Designer Contract</v>
      </c>
      <c r="U14" s="218">
        <f>'Request #21'!U14</f>
        <v>0</v>
      </c>
      <c r="V14" s="87">
        <f>'Request #21'!V14</f>
        <v>0</v>
      </c>
      <c r="W14" s="88">
        <f>SUMIF(F7:F79,3,E7:E79)</f>
        <v>0</v>
      </c>
      <c r="X14" s="88">
        <f>'Request #21'!Y14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#21'!AA14,"OK","Alert,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#21'!V15,"OK","Send in Change Order")</f>
        <v>OK</v>
      </c>
      <c r="S15" s="85">
        <v>4</v>
      </c>
      <c r="T15" s="86" t="str">
        <f>'Request #21'!T15</f>
        <v>Designer Reimbursables</v>
      </c>
      <c r="U15" s="218">
        <f>'Request #21'!U15</f>
        <v>0</v>
      </c>
      <c r="V15" s="87">
        <f>'Request #21'!V15</f>
        <v>0</v>
      </c>
      <c r="W15" s="88">
        <f>SUMIF(F7:F79,4,E7:E79)</f>
        <v>0</v>
      </c>
      <c r="X15" s="88">
        <f>'Request #21'!Y15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#21'!AA15,"OK","Alert,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#21'!V16,"OK","Send in Change Order")</f>
        <v>OK</v>
      </c>
      <c r="S16" s="85">
        <v>5</v>
      </c>
      <c r="T16" s="86" t="str">
        <f>'Request #21'!T16</f>
        <v>Other Contracts</v>
      </c>
      <c r="U16" s="218">
        <f>'Request #21'!U16</f>
        <v>0</v>
      </c>
      <c r="V16" s="87">
        <f>'Request #21'!V16</f>
        <v>0</v>
      </c>
      <c r="W16" s="88">
        <f>SUMIF(F7:F79,5,E7:E79)</f>
        <v>0</v>
      </c>
      <c r="X16" s="88">
        <f>'Request #21'!Y16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#21'!AA16,"OK","Alert,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#21'!V17,"OK","Send in Change Order")</f>
        <v>OK</v>
      </c>
      <c r="S17" s="85">
        <v>6</v>
      </c>
      <c r="T17" s="86" t="str">
        <f>'Request #21'!T17</f>
        <v>Other Contracts</v>
      </c>
      <c r="U17" s="218">
        <f>'Request #21'!U17</f>
        <v>0</v>
      </c>
      <c r="V17" s="87">
        <f>'Request #21'!V17</f>
        <v>0</v>
      </c>
      <c r="W17" s="88">
        <f>SUMIF(F7:F79,6,E7:E79)</f>
        <v>0</v>
      </c>
      <c r="X17" s="88">
        <f>'Request #21'!Y17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#21'!AA17,"OK","Alert,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#21'!V18,"OK","Send in Change Order")</f>
        <v>OK</v>
      </c>
      <c r="S18" s="85">
        <v>7</v>
      </c>
      <c r="T18" s="86" t="str">
        <f>'Request #21'!T18</f>
        <v>Other Contracts</v>
      </c>
      <c r="U18" s="218">
        <f>'Request #21'!U18</f>
        <v>0</v>
      </c>
      <c r="V18" s="87">
        <f>'Request #21'!V18</f>
        <v>0</v>
      </c>
      <c r="W18" s="88">
        <f>SUMIF(F7:F79,7,E7:E79)</f>
        <v>0</v>
      </c>
      <c r="X18" s="88">
        <f>'Request #21'!Y18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#21'!AA18,"OK","Alert,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#21'!V19,"OK","Send in Change Order")</f>
        <v>OK</v>
      </c>
      <c r="S19" s="85">
        <v>8</v>
      </c>
      <c r="T19" s="86" t="str">
        <f>'Request #21'!T19</f>
        <v>Other Contracts</v>
      </c>
      <c r="U19" s="218">
        <f>'Request #21'!U19</f>
        <v>0</v>
      </c>
      <c r="V19" s="87">
        <f>'Request #21'!V19</f>
        <v>0</v>
      </c>
      <c r="W19" s="88">
        <f>SUMIF(F7:F79,8,E7:E79)</f>
        <v>0</v>
      </c>
      <c r="X19" s="88">
        <f>'Request #21'!Y19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#21'!AA19,"OK","Alert,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#21'!V20,"OK","Send in Change Order")</f>
        <v>OK</v>
      </c>
      <c r="S20" s="85">
        <v>9</v>
      </c>
      <c r="T20" s="86" t="str">
        <f>'Request #21'!T20</f>
        <v>Other Contracts</v>
      </c>
      <c r="U20" s="218">
        <f>'Request #21'!U20</f>
        <v>0</v>
      </c>
      <c r="V20" s="87">
        <f>'Request #21'!V20</f>
        <v>0</v>
      </c>
      <c r="W20" s="88">
        <f>SUMIF(F7:F79,9,E7:E79)</f>
        <v>0</v>
      </c>
      <c r="X20" s="88">
        <f>'Request #21'!Y20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#21'!AA20,"OK","Alert,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#21'!V21,"OK","Send in Change Order")</f>
        <v>OK</v>
      </c>
      <c r="S21" s="85">
        <v>10</v>
      </c>
      <c r="T21" s="86" t="str">
        <f>'Request #21'!T21</f>
        <v>Other Contracts</v>
      </c>
      <c r="U21" s="218">
        <f>'Request #21'!U21</f>
        <v>0</v>
      </c>
      <c r="V21" s="87">
        <f>'Request #21'!V21</f>
        <v>0</v>
      </c>
      <c r="W21" s="88">
        <f>SUMIF(F7:F79,10,E7:E79)</f>
        <v>0</v>
      </c>
      <c r="X21" s="88">
        <f>'Request #21'!Y21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#21'!AA21,"OK","Alert,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#21'!V22,"OK","Send in Change Order")</f>
        <v>OK</v>
      </c>
      <c r="S22" s="85">
        <v>11</v>
      </c>
      <c r="T22" s="86" t="str">
        <f>'Request #21'!T22</f>
        <v>Other Contracts</v>
      </c>
      <c r="U22" s="218">
        <f>'Request #21'!U22</f>
        <v>0</v>
      </c>
      <c r="V22" s="87">
        <f>'Request #21'!V22</f>
        <v>0</v>
      </c>
      <c r="W22" s="88">
        <f>SUMIF(F7:F79,11,E7:E79)</f>
        <v>0</v>
      </c>
      <c r="X22" s="88">
        <f>'Request #21'!Y22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#21'!AA22,"OK","Alert,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#21'!V23,"OK","Send in Change Order")</f>
        <v>OK</v>
      </c>
      <c r="S23" s="85">
        <v>12</v>
      </c>
      <c r="T23" s="86" t="str">
        <f>'Request #21'!T23</f>
        <v>Other Contracts</v>
      </c>
      <c r="U23" s="218">
        <f>'Request #21'!U23</f>
        <v>0</v>
      </c>
      <c r="V23" s="87">
        <f>'Request #21'!V23</f>
        <v>0</v>
      </c>
      <c r="W23" s="88">
        <f>SUMIF(F7:F79,12,E7:E79)</f>
        <v>0</v>
      </c>
      <c r="X23" s="88">
        <f>'Request #21'!Y23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#21'!AA23,"OK","Alert,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#21'!V24,"OK","Send in Change Order")</f>
        <v>OK</v>
      </c>
      <c r="S24" s="85">
        <v>13</v>
      </c>
      <c r="T24" s="86" t="str">
        <f>'Request #21'!T24</f>
        <v>Other Contracts</v>
      </c>
      <c r="U24" s="218">
        <f>'Request #21'!U24</f>
        <v>0</v>
      </c>
      <c r="V24" s="87">
        <f>'Request #21'!V24</f>
        <v>0</v>
      </c>
      <c r="W24" s="88">
        <f>SUMIF(F7:F79,13,E7:E79)</f>
        <v>0</v>
      </c>
      <c r="X24" s="88">
        <f>'Request #21'!Y24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#21'!AA24,"OK","Alert,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#21'!V25,"OK","Send in Change Order")</f>
        <v>OK</v>
      </c>
      <c r="S25" s="85">
        <v>14</v>
      </c>
      <c r="T25" s="86" t="str">
        <f>'Request #21'!T25</f>
        <v>Other Contracts</v>
      </c>
      <c r="U25" s="218">
        <f>'Request #21'!U25</f>
        <v>0</v>
      </c>
      <c r="V25" s="87">
        <f>'Request #21'!V25</f>
        <v>0</v>
      </c>
      <c r="W25" s="88">
        <f>SUMIF(F7:F79,14,E7:E79)</f>
        <v>0</v>
      </c>
      <c r="X25" s="88">
        <f>'Request #21'!Y25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#21'!AA25,"OK","Alert,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#21'!V26,"OK","Send in Change Order")</f>
        <v>OK</v>
      </c>
      <c r="S26" s="85">
        <v>15</v>
      </c>
      <c r="T26" s="86" t="str">
        <f>'Request #21'!T26</f>
        <v>Other Contracts</v>
      </c>
      <c r="U26" s="218">
        <f>'Request #21'!U26</f>
        <v>0</v>
      </c>
      <c r="V26" s="87">
        <f>'Request #21'!V26</f>
        <v>0</v>
      </c>
      <c r="W26" s="88">
        <f>SUMIF(F7:F79,15,E7:E79)</f>
        <v>0</v>
      </c>
      <c r="X26" s="88">
        <f>'Request #21'!Y26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#21'!AA26,"OK","Alert,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#21'!V27,"OK","Send in Change Order")</f>
        <v>OK</v>
      </c>
      <c r="S27" s="85">
        <v>16</v>
      </c>
      <c r="T27" s="86" t="str">
        <f>'Request #21'!T27</f>
        <v>Other Contracts</v>
      </c>
      <c r="U27" s="218">
        <f>'Request #21'!U27</f>
        <v>0</v>
      </c>
      <c r="V27" s="87">
        <f>'Request #21'!V27</f>
        <v>0</v>
      </c>
      <c r="W27" s="88">
        <f>SUMIF(F7:F79,16,E7:E79)</f>
        <v>0</v>
      </c>
      <c r="X27" s="88">
        <f>'Request #21'!Y27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#21'!AA27,"OK","Alert,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#21'!V28,"OK","Send in Change Order")</f>
        <v>OK</v>
      </c>
      <c r="S28" s="85">
        <v>17</v>
      </c>
      <c r="T28" s="86" t="str">
        <f>'Request #21'!T28</f>
        <v>Other Contracts</v>
      </c>
      <c r="U28" s="218">
        <f>'Request #21'!U28</f>
        <v>0</v>
      </c>
      <c r="V28" s="87">
        <f>'Request #21'!V28</f>
        <v>0</v>
      </c>
      <c r="W28" s="88">
        <f>SUMIF(F7:F79,17,E7:E79)</f>
        <v>0</v>
      </c>
      <c r="X28" s="88">
        <f>'Request #21'!Y28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#21'!AA28,"OK","Alert,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#21'!V29,"OK","Send in Change Order")</f>
        <v>OK</v>
      </c>
      <c r="S29" s="85">
        <v>18</v>
      </c>
      <c r="T29" s="86" t="str">
        <f>'Request #21'!T29</f>
        <v>Other Contracts</v>
      </c>
      <c r="U29" s="218">
        <f>'Request #21'!U29</f>
        <v>0</v>
      </c>
      <c r="V29" s="87">
        <f>'Request #21'!V29</f>
        <v>0</v>
      </c>
      <c r="W29" s="88">
        <f>SUMIF(F7:F79,18,E7:E79)</f>
        <v>0</v>
      </c>
      <c r="X29" s="88">
        <f>'Request #21'!Y29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#21'!AA29,"OK","Alert,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#21'!V30,"OK","Send in Change Order")</f>
        <v>OK</v>
      </c>
      <c r="S30" s="85">
        <v>19</v>
      </c>
      <c r="T30" s="86" t="str">
        <f>'Request #21'!T30</f>
        <v>Other Contracts</v>
      </c>
      <c r="U30" s="218">
        <f>'Request #21'!U30</f>
        <v>0</v>
      </c>
      <c r="V30" s="87">
        <f>'Request #21'!V30</f>
        <v>0</v>
      </c>
      <c r="W30" s="88">
        <f>SUMIF(F7:F79,19,E7:E79)</f>
        <v>0</v>
      </c>
      <c r="X30" s="88">
        <f>'Request #21'!Y30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#21'!AA30,"OK","Alert,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#21'!V31,"OK","Send in Change Order")</f>
        <v>OK</v>
      </c>
      <c r="S31" s="85">
        <v>20</v>
      </c>
      <c r="T31" s="86" t="str">
        <f>'Request #21'!T31</f>
        <v>Other Contracts</v>
      </c>
      <c r="U31" s="218">
        <f>'Request #21'!U31</f>
        <v>0</v>
      </c>
      <c r="V31" s="87">
        <f>'Request #21'!V31</f>
        <v>0</v>
      </c>
      <c r="W31" s="88">
        <f>SUMIF(F7:F79,20,E7:E79)</f>
        <v>0</v>
      </c>
      <c r="X31" s="88">
        <f>'Request #21'!Y31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#21'!AA31,"OK","Alert,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#21'!V32,"OK","Send in Change Order")</f>
        <v>OK</v>
      </c>
      <c r="S32" s="85">
        <v>21</v>
      </c>
      <c r="T32" s="86" t="str">
        <f>'Request #21'!T32</f>
        <v>Other Contracts</v>
      </c>
      <c r="U32" s="218">
        <f>'Request #21'!U32</f>
        <v>0</v>
      </c>
      <c r="V32" s="87">
        <f>'Request #21'!V32</f>
        <v>0</v>
      </c>
      <c r="W32" s="88">
        <f>SUMIF(F7:F79,21,E7:E79)</f>
        <v>0</v>
      </c>
      <c r="X32" s="88">
        <f>'Request #21'!Y32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#21'!AA32,"OK","Alert,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#21'!V33,"OK","Send in Change Order")</f>
        <v>OK</v>
      </c>
      <c r="S33" s="85">
        <v>22</v>
      </c>
      <c r="T33" s="86" t="str">
        <f>'Request #21'!T33</f>
        <v>Other Contracts</v>
      </c>
      <c r="U33" s="218">
        <f>'Request #21'!U33</f>
        <v>0</v>
      </c>
      <c r="V33" s="87">
        <f>'Request #21'!V33</f>
        <v>0</v>
      </c>
      <c r="W33" s="88">
        <f>SUMIF(F7:F79,22,E7:E79)</f>
        <v>0</v>
      </c>
      <c r="X33" s="88">
        <f>'Request #21'!Y33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#21'!AA33,"OK","Alert,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#21'!V34,"OK","Send in Change Order")</f>
        <v>OK</v>
      </c>
      <c r="S34" s="85">
        <v>23</v>
      </c>
      <c r="T34" s="86" t="str">
        <f>'Request #21'!T34</f>
        <v>Other Contracts</v>
      </c>
      <c r="U34" s="218">
        <f>'Request #21'!U34</f>
        <v>0</v>
      </c>
      <c r="V34" s="87">
        <f>'Request #21'!V34</f>
        <v>0</v>
      </c>
      <c r="W34" s="88">
        <f>SUMIF(F7:F79,23,E7:E79)</f>
        <v>0</v>
      </c>
      <c r="X34" s="88">
        <f>'Request #21'!Y34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#21'!AA34,"OK","Alert,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#21'!V35,"OK","Send in Change Order")</f>
        <v>OK</v>
      </c>
      <c r="S35" s="85">
        <v>24</v>
      </c>
      <c r="T35" s="86" t="str">
        <f>'Request #21'!T35</f>
        <v>Other Contracts</v>
      </c>
      <c r="U35" s="218">
        <f>'Request #21'!U35</f>
        <v>0</v>
      </c>
      <c r="V35" s="87">
        <f>'Request #21'!V35</f>
        <v>0</v>
      </c>
      <c r="W35" s="88">
        <f>SUMIF(F7:F79,24,E7:E79)</f>
        <v>0</v>
      </c>
      <c r="X35" s="88">
        <f>'Request #21'!Y35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#21'!AA35,"OK","Alert,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#21'!V36,"OK","Send in Change Order")</f>
        <v>OK</v>
      </c>
      <c r="S36" s="85">
        <v>25</v>
      </c>
      <c r="T36" s="86" t="str">
        <f>'Request #21'!T36</f>
        <v>Other Contracts</v>
      </c>
      <c r="U36" s="218">
        <f>'Request #21'!U36</f>
        <v>0</v>
      </c>
      <c r="V36" s="87">
        <f>'Request #21'!V36</f>
        <v>0</v>
      </c>
      <c r="W36" s="88">
        <f>SUMIF(F7:F79,25,E7:E79)</f>
        <v>0</v>
      </c>
      <c r="X36" s="88">
        <f>'Request #21'!Y36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#21'!AA36,"OK","Alert,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#21'!V37,"OK","Send in Change Order")</f>
        <v>OK</v>
      </c>
      <c r="S37" s="85">
        <v>26</v>
      </c>
      <c r="T37" s="86" t="str">
        <f>'Request #21'!T37</f>
        <v>Other Fees</v>
      </c>
      <c r="U37" s="218">
        <f>'Request #21'!U37</f>
        <v>0</v>
      </c>
      <c r="V37" s="87">
        <f>'Request #21'!V37</f>
        <v>0</v>
      </c>
      <c r="W37" s="88">
        <f>SUMIF(F7:F79,26,E7:E79)</f>
        <v>0</v>
      </c>
      <c r="X37" s="88">
        <f>'Request #21'!Y37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#21'!AA37,"OK","Alert,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#21'!V38,"OK","Send in Change Order")</f>
        <v>OK</v>
      </c>
      <c r="S38" s="85">
        <v>27</v>
      </c>
      <c r="T38" s="86" t="str">
        <f>'Request #21'!T38</f>
        <v>Other Fees</v>
      </c>
      <c r="U38" s="218">
        <f>'Request #21'!U38</f>
        <v>0</v>
      </c>
      <c r="V38" s="87">
        <f>'Request #21'!V38</f>
        <v>0</v>
      </c>
      <c r="W38" s="88">
        <f>SUMIF(F7:F79,27,E7:E79)</f>
        <v>0</v>
      </c>
      <c r="X38" s="88">
        <f>'Request #21'!Y38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#21'!AA38,"OK","Alert,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#21'!V39,"OK","Send in Change Order")</f>
        <v>OK</v>
      </c>
      <c r="S39" s="85">
        <v>28</v>
      </c>
      <c r="T39" s="86" t="str">
        <f>'Request #21'!T39</f>
        <v>Other Fees</v>
      </c>
      <c r="U39" s="218">
        <f>'Request #21'!U39</f>
        <v>0</v>
      </c>
      <c r="V39" s="87">
        <f>'Request #21'!V39</f>
        <v>0</v>
      </c>
      <c r="W39" s="88">
        <f>SUMIF(F7:F79,28,E7:E79)</f>
        <v>0</v>
      </c>
      <c r="X39" s="88">
        <f>'Request #21'!Y39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#21'!AA39,"OK","Alert,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#21'!V40,"OK","Send in Change Order")</f>
        <v>OK</v>
      </c>
      <c r="S40" s="85">
        <v>29</v>
      </c>
      <c r="T40" s="86" t="str">
        <f>'Request #21'!T40</f>
        <v>Other Fees</v>
      </c>
      <c r="U40" s="218">
        <f>'Request #21'!U40</f>
        <v>0</v>
      </c>
      <c r="V40" s="87">
        <f>'Request #21'!V40</f>
        <v>0</v>
      </c>
      <c r="W40" s="88">
        <f>SUMIF(F7:F79,29,E7:E79)</f>
        <v>0</v>
      </c>
      <c r="X40" s="88">
        <f>'Request #21'!Y40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#21'!AA40,"OK","Alert,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#21'!V41,"OK","Send in Change Order")</f>
        <v>OK</v>
      </c>
      <c r="S41" s="85">
        <v>30</v>
      </c>
      <c r="T41" s="86" t="str">
        <f>'Request #21'!T41</f>
        <v>Other Fees</v>
      </c>
      <c r="U41" s="218">
        <f>'Request #21'!U41</f>
        <v>0</v>
      </c>
      <c r="V41" s="87">
        <f>'Request #21'!V41</f>
        <v>0</v>
      </c>
      <c r="W41" s="88">
        <f>SUMIF(F7:F79,30,E7:E79)</f>
        <v>0</v>
      </c>
      <c r="X41" s="88">
        <f>'Request #21'!Y41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#21'!AA41,"OK","Alert,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#21'!V42,"OK","Send in Change Order")</f>
        <v>OK</v>
      </c>
      <c r="S42" s="85">
        <v>31</v>
      </c>
      <c r="T42" s="86" t="str">
        <f>'Request #21'!T42</f>
        <v>Other Fees</v>
      </c>
      <c r="U42" s="218">
        <f>'Request #21'!U42</f>
        <v>0</v>
      </c>
      <c r="V42" s="87">
        <f>'Request #21'!V42</f>
        <v>0</v>
      </c>
      <c r="W42" s="88">
        <f>SUMIF(F7:F79,31,E7:E79)</f>
        <v>0</v>
      </c>
      <c r="X42" s="88">
        <f>'Request #21'!Y42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#21'!AA42,"OK","Alert,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#21'!V43,"OK","Send in Change Order")</f>
        <v>OK</v>
      </c>
      <c r="S43" s="85">
        <v>32</v>
      </c>
      <c r="T43" s="86" t="str">
        <f>'Request #21'!T43</f>
        <v>Other Fees</v>
      </c>
      <c r="U43" s="218">
        <f>'Request #21'!U43</f>
        <v>0</v>
      </c>
      <c r="V43" s="87">
        <f>'Request #21'!V43</f>
        <v>0</v>
      </c>
      <c r="W43" s="88">
        <f>SUMIF(F7:F79,32,E7:E79)</f>
        <v>0</v>
      </c>
      <c r="X43" s="88">
        <f>'Request #21'!Y43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#21'!AA43,"OK","Alert,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#21'!V44,"OK","Send in Change Order")</f>
        <v>OK</v>
      </c>
      <c r="S44" s="85">
        <v>33</v>
      </c>
      <c r="T44" s="86" t="str">
        <f>'Request #21'!T44</f>
        <v>Other Fees</v>
      </c>
      <c r="U44" s="218">
        <f>'Request #21'!U44</f>
        <v>0</v>
      </c>
      <c r="V44" s="87">
        <f>'Request #21'!V44</f>
        <v>0</v>
      </c>
      <c r="W44" s="88">
        <f>SUMIF(F7:F79,33,E7:E79)</f>
        <v>0</v>
      </c>
      <c r="X44" s="88">
        <f>'Request #21'!Y44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#21'!AA44,"OK","Alert,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#21'!V49,"OK","Send in Change Order")</f>
        <v>OK</v>
      </c>
      <c r="S49" s="85">
        <v>38</v>
      </c>
      <c r="T49" s="86" t="str">
        <f>'Request #21'!T49</f>
        <v>Other Fees</v>
      </c>
      <c r="U49" s="218">
        <f>'Request #21'!U49</f>
        <v>0</v>
      </c>
      <c r="V49" s="87">
        <f>'Request #21'!V49</f>
        <v>0</v>
      </c>
      <c r="W49" s="88">
        <f>SUMIF(F7:F79,38,E7:E79)</f>
        <v>0</v>
      </c>
      <c r="X49" s="88">
        <f>'Request #21'!Y49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#21'!AA49,"OK","Alert,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#21'!V50,"OK","Send in Change Order")</f>
        <v>OK</v>
      </c>
      <c r="S50" s="85">
        <v>39</v>
      </c>
      <c r="T50" s="86" t="str">
        <f>'Request #21'!T50</f>
        <v>Other Fees</v>
      </c>
      <c r="U50" s="218">
        <f>'Request #21'!U50</f>
        <v>0</v>
      </c>
      <c r="V50" s="87">
        <f>'Request #21'!V50</f>
        <v>0</v>
      </c>
      <c r="W50" s="88">
        <f>SUMIF(F7:F79,39,E7:E79)</f>
        <v>0</v>
      </c>
      <c r="X50" s="88">
        <f>'Request #21'!Y50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#21'!AA50,"OK","Alert,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#21'!V51,"OK","Send in Change Order")</f>
        <v>OK</v>
      </c>
      <c r="S51" s="85">
        <v>40</v>
      </c>
      <c r="T51" s="86" t="str">
        <f>'Request #21'!T51</f>
        <v>Other Fees</v>
      </c>
      <c r="U51" s="218">
        <f>'Request #21'!U51</f>
        <v>0</v>
      </c>
      <c r="V51" s="87">
        <f>'Request #21'!V51</f>
        <v>0</v>
      </c>
      <c r="W51" s="88">
        <f>SUMIF(F7:F79,40,E7:E79)</f>
        <v>0</v>
      </c>
      <c r="X51" s="88">
        <f>'Request #21'!Y51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#21'!AA51,"OK","Alert,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#21'!V52,"OK","Send in Change Order")</f>
        <v>OK</v>
      </c>
      <c r="S52" s="85">
        <v>41</v>
      </c>
      <c r="T52" s="86" t="str">
        <f>'Request #21'!T52</f>
        <v>Other Fees</v>
      </c>
      <c r="U52" s="218">
        <f>'Request #21'!U52</f>
        <v>0</v>
      </c>
      <c r="V52" s="87">
        <f>'Request #21'!V52</f>
        <v>0</v>
      </c>
      <c r="W52" s="88">
        <f>SUMIF(F7:F79,41,E7:E79)</f>
        <v>0</v>
      </c>
      <c r="X52" s="88">
        <f>'Request #21'!Y52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#21'!AA52,"OK","Alert,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#21'!V53,"OK","Send in Change Order")</f>
        <v>OK</v>
      </c>
      <c r="S53" s="85">
        <v>42</v>
      </c>
      <c r="T53" s="86" t="str">
        <f>'Request #21'!T53</f>
        <v>Other Fees</v>
      </c>
      <c r="U53" s="218">
        <f>'Request #21'!U53</f>
        <v>0</v>
      </c>
      <c r="V53" s="87">
        <f>'Request #21'!V53</f>
        <v>0</v>
      </c>
      <c r="W53" s="88">
        <f>SUMIF(F7:F79,42,E7:E79)</f>
        <v>0</v>
      </c>
      <c r="X53" s="88">
        <f>'Request #21'!Y53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#21'!AA53,"OK","Alert,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#21'!V54,"OK","Send in Change Order")</f>
        <v>OK</v>
      </c>
      <c r="S54" s="85">
        <v>43</v>
      </c>
      <c r="T54" s="86" t="str">
        <f>'Request #21'!T54</f>
        <v>Other Fees</v>
      </c>
      <c r="U54" s="218">
        <f>'Request #21'!U54</f>
        <v>0</v>
      </c>
      <c r="V54" s="87">
        <f>'Request #21'!V54</f>
        <v>0</v>
      </c>
      <c r="W54" s="88">
        <f>SUMIF(F7:F79,43,E7:E79)</f>
        <v>0</v>
      </c>
      <c r="X54" s="88">
        <f>'Request #21'!Y54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#21'!AA54,"OK","Alert,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#21'!V55,"OK","Send in Change Order")</f>
        <v>OK</v>
      </c>
      <c r="S55" s="85">
        <v>44</v>
      </c>
      <c r="T55" s="86" t="str">
        <f>'Request #21'!T55</f>
        <v>Other Fees</v>
      </c>
      <c r="U55" s="218">
        <f>'Request #21'!U55</f>
        <v>0</v>
      </c>
      <c r="V55" s="87">
        <f>'Request #21'!V55</f>
        <v>0</v>
      </c>
      <c r="W55" s="88">
        <f>SUMIF(F7:F79,44,E7:E79)</f>
        <v>0</v>
      </c>
      <c r="X55" s="88">
        <f>'Request #21'!Y55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#21'!AA55,"OK","Alert,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#21'!V56,"OK","Send in Change Order")</f>
        <v>OK</v>
      </c>
      <c r="S56" s="85">
        <v>45</v>
      </c>
      <c r="T56" s="86" t="str">
        <f>'Request #21'!T56</f>
        <v>Other Fees</v>
      </c>
      <c r="U56" s="218">
        <f>'Request #21'!U56</f>
        <v>0</v>
      </c>
      <c r="V56" s="87">
        <f>'Request #21'!V56</f>
        <v>0</v>
      </c>
      <c r="W56" s="88">
        <f>SUMIF(F7:F79,45,E7:E79)</f>
        <v>0</v>
      </c>
      <c r="X56" s="88">
        <f>'Request #21'!Y56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#21'!AA56,"OK","Alert,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#21'!V57,"OK","Send in Change Order")</f>
        <v>OK</v>
      </c>
      <c r="S57" s="85">
        <v>46</v>
      </c>
      <c r="T57" s="86" t="str">
        <f>'Request #21'!T57</f>
        <v>Other Fees</v>
      </c>
      <c r="U57" s="218">
        <f>'Request #21'!U57</f>
        <v>0</v>
      </c>
      <c r="V57" s="87">
        <f>'Request #21'!V57</f>
        <v>0</v>
      </c>
      <c r="W57" s="88">
        <f>SUMIF(F7:F79,46,E7:E79)</f>
        <v>0</v>
      </c>
      <c r="X57" s="88">
        <f>'Request #21'!Y57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#21'!AA57,"OK","Alert,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#21'!V58,"OK","Send in Change Order")</f>
        <v>OK</v>
      </c>
      <c r="S58" s="85">
        <v>47</v>
      </c>
      <c r="T58" s="86" t="str">
        <f>'Request #21'!T58</f>
        <v>Other Fees</v>
      </c>
      <c r="U58" s="218">
        <f>'Request #21'!U58</f>
        <v>0</v>
      </c>
      <c r="V58" s="87">
        <f>'Request #21'!V58</f>
        <v>0</v>
      </c>
      <c r="W58" s="88">
        <f>SUMIF(F7:F79,47,E7:E79)</f>
        <v>0</v>
      </c>
      <c r="X58" s="88">
        <f>'Request #21'!Y58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#21'!AA58,"OK","Alert,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#21'!V59,"OK","Send in Change Order")</f>
        <v>OK</v>
      </c>
      <c r="S59" s="85">
        <v>48</v>
      </c>
      <c r="T59" s="86" t="str">
        <f>'Request #21'!T59</f>
        <v>Other Fees</v>
      </c>
      <c r="U59" s="218">
        <f>'Request #21'!U59</f>
        <v>0</v>
      </c>
      <c r="V59" s="87">
        <f>'Request #21'!V59</f>
        <v>0</v>
      </c>
      <c r="W59" s="88">
        <f>SUMIF(F7:F79,48,E7:E79)</f>
        <v>0</v>
      </c>
      <c r="X59" s="88">
        <f>'Request #21'!Y59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#21'!AA59,"OK","Alert,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#21'!V60,"OK","Send in Change Order")</f>
        <v>OK</v>
      </c>
      <c r="S60" s="85">
        <v>49</v>
      </c>
      <c r="T60" s="86" t="str">
        <f>'Request #21'!T60</f>
        <v>Other Fees</v>
      </c>
      <c r="U60" s="218">
        <f>'Request #21'!U60</f>
        <v>0</v>
      </c>
      <c r="V60" s="87">
        <f>'Request #21'!V60</f>
        <v>0</v>
      </c>
      <c r="W60" s="88">
        <f>SUMIF(F7:F79,49,E7:E79)</f>
        <v>0</v>
      </c>
      <c r="X60" s="88">
        <f>'Request #21'!Y60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#21'!AA60,"OK","Alert,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#21'!V61,"OK","Send in Change Order")</f>
        <v>OK</v>
      </c>
      <c r="S61" s="85">
        <v>50</v>
      </c>
      <c r="T61" s="86" t="str">
        <f>'Request #21'!T61</f>
        <v>Other Fees</v>
      </c>
      <c r="U61" s="218">
        <f>'Request #21'!U61</f>
        <v>0</v>
      </c>
      <c r="V61" s="87">
        <f>'Request #21'!V61</f>
        <v>0</v>
      </c>
      <c r="W61" s="88">
        <f>SUMIF(F7:F79,50,E7:E79)</f>
        <v>0</v>
      </c>
      <c r="X61" s="88">
        <f>'Request #21'!Y61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#21'!AA61,"OK","Alert,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#21'!V62,"OK","Send in Change Order")</f>
        <v>OK</v>
      </c>
      <c r="S62" s="85">
        <v>51</v>
      </c>
      <c r="T62" s="86" t="str">
        <f>'Request #21'!T62</f>
        <v>Other Fees</v>
      </c>
      <c r="U62" s="218">
        <f>'Request #21'!U62</f>
        <v>0</v>
      </c>
      <c r="V62" s="87">
        <f>'Request #21'!V62</f>
        <v>0</v>
      </c>
      <c r="W62" s="88">
        <f>SUMIF(F7:F79,51,E7:E79)</f>
        <v>0</v>
      </c>
      <c r="X62" s="88">
        <f>'Request #21'!Y62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#21'!AA62,"OK","Alert,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#21'!V63,"OK","Send in Change Order")</f>
        <v>OK</v>
      </c>
      <c r="S63" s="85">
        <v>52</v>
      </c>
      <c r="T63" s="86" t="str">
        <f>'Request #21'!T63</f>
        <v>Worked Performed by Owner</v>
      </c>
      <c r="U63" s="218">
        <f>'Request #21'!U63</f>
        <v>0</v>
      </c>
      <c r="V63" s="87">
        <f>'Request #21'!V63</f>
        <v>0</v>
      </c>
      <c r="W63" s="88">
        <f>SUMIF(F7:F79,52,E7:E79)</f>
        <v>0</v>
      </c>
      <c r="X63" s="88">
        <f>'Request #21'!Y63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#21'!AA63,"OK","Alert,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#21'!V64,"OK","Send in Change Order")</f>
        <v>OK</v>
      </c>
      <c r="S64" s="85">
        <v>53</v>
      </c>
      <c r="T64" s="86" t="str">
        <f>'Request #21'!T64</f>
        <v>Equipment (Major)</v>
      </c>
      <c r="U64" s="218">
        <f>'Request #21'!U64</f>
        <v>0</v>
      </c>
      <c r="V64" s="87">
        <f>'Request #21'!V64</f>
        <v>0</v>
      </c>
      <c r="W64" s="88">
        <f>SUMIF(F7:F79,53,E7:E79)</f>
        <v>0</v>
      </c>
      <c r="X64" s="88">
        <f>'Request #21'!Y64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#21'!AA64,"OK","Alert,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#21'!V65,"OK","Send in Change Order")</f>
        <v>OK</v>
      </c>
      <c r="S65" s="85">
        <v>54</v>
      </c>
      <c r="T65" s="102" t="s">
        <v>90</v>
      </c>
      <c r="U65" s="218">
        <f>'Request #21'!U65</f>
        <v>0</v>
      </c>
      <c r="V65" s="87">
        <f>'Request #21'!V65</f>
        <v>0</v>
      </c>
      <c r="W65" s="104"/>
      <c r="X65" s="88">
        <f>'Request #21'!Y65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#21'!AA65,"OK","Alert,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#21'!V66,"OK","Send in Change Order")</f>
        <v>OK</v>
      </c>
      <c r="S66" s="85">
        <v>55</v>
      </c>
      <c r="T66" s="86"/>
      <c r="U66" s="218">
        <f>'Request #21'!U66</f>
        <v>0</v>
      </c>
      <c r="V66" s="87">
        <f>'Request #21'!V66</f>
        <v>0</v>
      </c>
      <c r="W66" s="88">
        <f>SUMIF(F7:F79,55,E7:E79)</f>
        <v>0</v>
      </c>
      <c r="X66" s="88">
        <f>'Request #21'!Y66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#21'!AA66,"OK","Alert,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#21'!V67,"OK","Send in Change Order")</f>
        <v>OK</v>
      </c>
      <c r="S67" s="85">
        <v>56</v>
      </c>
      <c r="T67" s="79"/>
      <c r="U67" s="218">
        <f>'Request #21'!U67</f>
        <v>0</v>
      </c>
      <c r="V67" s="87">
        <f>'Request #21'!V67</f>
        <v>0</v>
      </c>
      <c r="W67" s="88">
        <f>SUMIF(F7:F79,56,E7:E79)</f>
        <v>0</v>
      </c>
      <c r="X67" s="88">
        <f>'Request #21'!Y67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#21'!AA67,"OK","Alert,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#21'!V68,"OK","Send in Change Order")</f>
        <v>OK</v>
      </c>
      <c r="S68" s="316" t="s">
        <v>60</v>
      </c>
      <c r="T68" s="317"/>
      <c r="U68" s="224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#21'!AA68,"OK","Alert,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25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226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27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28" t="e">
        <f>V72/V68</f>
        <v>#DIV/0!</v>
      </c>
      <c r="V72" s="88">
        <f>V68-V74-V73</f>
        <v>0</v>
      </c>
      <c r="W72" s="87">
        <v>0</v>
      </c>
      <c r="X72" s="88">
        <f>'Request #21'!Y72</f>
        <v>0</v>
      </c>
      <c r="Y72" s="88">
        <f t="shared" ref="Y72:Y73" si="8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#21'!V73,"OK","Send in Change Order")</f>
        <v>OK</v>
      </c>
      <c r="S73" s="86" t="s">
        <v>95</v>
      </c>
      <c r="T73" s="114"/>
      <c r="U73" s="228" t="e">
        <f>V73/V68</f>
        <v>#DIV/0!</v>
      </c>
      <c r="V73" s="87">
        <f>'Request #21'!V73</f>
        <v>0</v>
      </c>
      <c r="W73" s="87">
        <v>0</v>
      </c>
      <c r="X73" s="88">
        <f>'Request #21'!Y73</f>
        <v>0</v>
      </c>
      <c r="Y73" s="88">
        <f t="shared" si="8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#21'!V74,"OK","Send in Change Order")</f>
        <v>OK</v>
      </c>
      <c r="S74" s="120" t="s">
        <v>96</v>
      </c>
      <c r="T74" s="121"/>
      <c r="U74" s="228" t="e">
        <f>V74/V68</f>
        <v>#DIV/0!</v>
      </c>
      <c r="V74" s="87">
        <f>'Request #21'!V74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221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30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30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31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221"/>
      <c r="V80" s="55"/>
      <c r="W80" s="55"/>
      <c r="X80" s="138"/>
      <c r="Y80" s="45" t="s">
        <v>108</v>
      </c>
      <c r="Z80" s="43"/>
      <c r="AA80" s="88">
        <f>'Request #21'!AA79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22</v>
      </c>
      <c r="V87" s="55"/>
      <c r="W87" s="55"/>
      <c r="X87" s="138"/>
      <c r="Y87" s="45" t="s">
        <v>108</v>
      </c>
      <c r="Z87" s="43"/>
      <c r="AA87" s="88">
        <f>'Request #21'!AA86</f>
        <v>0</v>
      </c>
      <c r="AB87" s="110"/>
    </row>
    <row r="88" spans="1:28" ht="30" customHeight="1" thickBot="1" x14ac:dyDescent="0.35">
      <c r="S88" s="55"/>
      <c r="T88" s="55"/>
      <c r="U88" s="221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221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221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221"/>
      <c r="V91" s="55"/>
      <c r="W91" s="55"/>
      <c r="X91" s="55"/>
    </row>
    <row r="92" spans="1:28" ht="30" customHeight="1" x14ac:dyDescent="0.3">
      <c r="S92" s="55"/>
      <c r="T92" s="55"/>
      <c r="U92" s="221"/>
      <c r="V92" s="55"/>
      <c r="W92" s="55"/>
      <c r="X92" s="55"/>
    </row>
    <row r="93" spans="1:28" ht="30" customHeight="1" x14ac:dyDescent="0.3">
      <c r="S93" s="55"/>
      <c r="T93" s="55"/>
      <c r="U93" s="221"/>
      <c r="V93" s="55"/>
      <c r="W93" s="55"/>
      <c r="X93" s="55"/>
    </row>
    <row r="94" spans="1:28" ht="30" customHeight="1" x14ac:dyDescent="0.3">
      <c r="S94" s="55"/>
      <c r="T94" s="55"/>
      <c r="U94" s="221"/>
      <c r="V94" s="55"/>
      <c r="W94" s="55"/>
      <c r="X94" s="55"/>
    </row>
    <row r="95" spans="1:28" ht="30" customHeight="1" x14ac:dyDescent="0.3">
      <c r="S95" s="55"/>
      <c r="T95" s="55"/>
      <c r="U95" s="221"/>
      <c r="V95" s="55"/>
      <c r="W95" s="55"/>
      <c r="X95" s="55"/>
    </row>
    <row r="96" spans="1:28" ht="30" customHeight="1" x14ac:dyDescent="0.3">
      <c r="S96" s="55"/>
      <c r="T96" s="55"/>
      <c r="U96" s="221"/>
      <c r="V96" s="55"/>
      <c r="W96" s="55"/>
      <c r="X96" s="55"/>
    </row>
    <row r="97" spans="15:24" ht="30" customHeight="1" x14ac:dyDescent="0.3">
      <c r="S97" s="55"/>
      <c r="T97" s="55"/>
      <c r="U97" s="221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8mZGIuBOsSGcQjeZMXhvNVk1B3DvaWvHlJv6SXUov8ms2cqyvxND863GwUoCVu5OvrozTbhYrmfu2hhHz39bWw==" saltValue="CJDDMMY7AuzeK6TRDSaEGA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242" priority="10" operator="containsText" text="Change">
      <formula>NOT(ISERROR(SEARCH("Change",R1)))</formula>
    </cfRule>
  </conditionalFormatting>
  <conditionalFormatting sqref="R45:R48">
    <cfRule type="cellIs" dxfId="241" priority="7" operator="equal">
      <formula>"Send in Change Order"</formula>
    </cfRule>
  </conditionalFormatting>
  <conditionalFormatting sqref="W68">
    <cfRule type="cellIs" dxfId="240" priority="2" operator="notEqual">
      <formula>$E$82</formula>
    </cfRule>
    <cfRule type="cellIs" dxfId="239" priority="3" operator="greaterThan">
      <formula>$E$82</formula>
    </cfRule>
    <cfRule type="cellIs" dxfId="238" priority="4" operator="notEqual">
      <formula>$E$82</formula>
    </cfRule>
  </conditionalFormatting>
  <conditionalFormatting sqref="Z12:Z44">
    <cfRule type="cellIs" dxfId="237" priority="8" operator="lessThan">
      <formula>0</formula>
    </cfRule>
  </conditionalFormatting>
  <conditionalFormatting sqref="Z49:Z68">
    <cfRule type="cellIs" dxfId="236" priority="5" operator="lessThan">
      <formula>0</formula>
    </cfRule>
  </conditionalFormatting>
  <conditionalFormatting sqref="AA68">
    <cfRule type="cellIs" dxfId="235" priority="1" operator="notEqual">
      <formula>$O$82</formula>
    </cfRule>
  </conditionalFormatting>
  <conditionalFormatting sqref="AB1:AB1048576">
    <cfRule type="containsText" dxfId="234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2" manualBreakCount="12">
    <brk id="6" max="88" man="1"/>
    <brk id="10" max="1048575" man="1"/>
    <brk id="16" max="88" man="1"/>
    <brk id="18" max="1048575" man="1"/>
    <brk id="27" max="88" man="1"/>
    <brk id="29" max="1048575" man="1"/>
    <brk id="51" max="1048575" man="1"/>
    <brk id="52" max="1048575" man="1"/>
    <brk id="99" max="1048575" man="1"/>
    <brk id="101" max="1048575" man="1"/>
    <brk id="110" max="1048575" man="1"/>
    <brk id="111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4414062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7.88671875" style="50" customWidth="1"/>
    <col min="19" max="19" width="5.88671875" style="39" customWidth="1"/>
    <col min="20" max="20" width="31.21875" style="39" customWidth="1"/>
    <col min="21" max="21" width="17.77734375" style="219" customWidth="1"/>
    <col min="22" max="27" width="18.88671875" style="39" customWidth="1"/>
    <col min="28" max="28" width="25.3320312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220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23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220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220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221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22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23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23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218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#22'!V12,"OK","Send in Change Order")</f>
        <v>OK</v>
      </c>
      <c r="S12" s="85">
        <v>1</v>
      </c>
      <c r="T12" s="86" t="str">
        <f>'Request #22'!T12</f>
        <v>Land/Site Grading &amp; Improv.</v>
      </c>
      <c r="U12" s="218">
        <f>'Request #22'!U12</f>
        <v>0</v>
      </c>
      <c r="V12" s="87">
        <f>'Request #22'!V12</f>
        <v>0</v>
      </c>
      <c r="W12" s="88">
        <f>SUMIF(F7:F79,1,E7:E79)</f>
        <v>0</v>
      </c>
      <c r="X12" s="88">
        <f>'Request #22'!Y12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#22'!AA12,"OK","Alert,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#22'!V13,"OK","Send in Change Order")</f>
        <v>OK</v>
      </c>
      <c r="S13" s="85">
        <v>2</v>
      </c>
      <c r="T13" s="86" t="str">
        <f>'Request #22'!T13</f>
        <v xml:space="preserve">General Contract </v>
      </c>
      <c r="U13" s="218">
        <f>'Request #22'!U13</f>
        <v>0</v>
      </c>
      <c r="V13" s="87">
        <f>'Request #22'!V13</f>
        <v>0</v>
      </c>
      <c r="W13" s="88">
        <f>SUMIF(F7:F79,2,E7:E79)</f>
        <v>0</v>
      </c>
      <c r="X13" s="88">
        <f>'Request #22'!Y13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#22'!AA13,"OK","Alert,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#22'!V14,"OK","Send in Change Order")</f>
        <v>OK</v>
      </c>
      <c r="S14" s="85">
        <v>3</v>
      </c>
      <c r="T14" s="86" t="str">
        <f>'Request #22'!T14</f>
        <v>Designer Contract</v>
      </c>
      <c r="U14" s="218">
        <f>'Request #22'!U14</f>
        <v>0</v>
      </c>
      <c r="V14" s="87">
        <f>'Request #22'!V14</f>
        <v>0</v>
      </c>
      <c r="W14" s="88">
        <f>SUMIF(F7:F79,3,E7:E79)</f>
        <v>0</v>
      </c>
      <c r="X14" s="88">
        <f>'Request #22'!Y14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#22'!AA14,"OK","Alert,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#22'!V15,"OK","Send in Change Order")</f>
        <v>OK</v>
      </c>
      <c r="S15" s="85">
        <v>4</v>
      </c>
      <c r="T15" s="86" t="str">
        <f>'Request #22'!T15</f>
        <v>Designer Reimbursables</v>
      </c>
      <c r="U15" s="218">
        <f>'Request #22'!U15</f>
        <v>0</v>
      </c>
      <c r="V15" s="87">
        <f>'Request #22'!V15</f>
        <v>0</v>
      </c>
      <c r="W15" s="88">
        <f>SUMIF(F7:F79,4,E7:E79)</f>
        <v>0</v>
      </c>
      <c r="X15" s="88">
        <f>'Request #22'!Y15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#22'!AA15,"OK","Alert,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#22'!V16,"OK","Send in Change Order")</f>
        <v>OK</v>
      </c>
      <c r="S16" s="85">
        <v>5</v>
      </c>
      <c r="T16" s="86" t="str">
        <f>'Request #22'!T16</f>
        <v>Other Contracts</v>
      </c>
      <c r="U16" s="218">
        <f>'Request #22'!U16</f>
        <v>0</v>
      </c>
      <c r="V16" s="87">
        <f>'Request #22'!V16</f>
        <v>0</v>
      </c>
      <c r="W16" s="88">
        <f>SUMIF(F7:F79,5,E7:E79)</f>
        <v>0</v>
      </c>
      <c r="X16" s="88">
        <f>'Request #22'!Y16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#22'!AA16,"OK","Alert,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#22'!V17,"OK","Send in Change Order")</f>
        <v>OK</v>
      </c>
      <c r="S17" s="85">
        <v>6</v>
      </c>
      <c r="T17" s="86" t="str">
        <f>'Request #22'!T17</f>
        <v>Other Contracts</v>
      </c>
      <c r="U17" s="218">
        <f>'Request #22'!U17</f>
        <v>0</v>
      </c>
      <c r="V17" s="87">
        <f>'Request #22'!V17</f>
        <v>0</v>
      </c>
      <c r="W17" s="88">
        <f>SUMIF(F7:F79,6,E7:E79)</f>
        <v>0</v>
      </c>
      <c r="X17" s="88">
        <f>'Request #22'!Y17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#22'!AA17,"OK","Alert,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#22'!V18,"OK","Send in Change Order")</f>
        <v>OK</v>
      </c>
      <c r="S18" s="85">
        <v>7</v>
      </c>
      <c r="T18" s="86" t="str">
        <f>'Request #22'!T18</f>
        <v>Other Contracts</v>
      </c>
      <c r="U18" s="218">
        <f>'Request #22'!U18</f>
        <v>0</v>
      </c>
      <c r="V18" s="87">
        <f>'Request #22'!V18</f>
        <v>0</v>
      </c>
      <c r="W18" s="88">
        <f>SUMIF(F7:F79,7,E7:E79)</f>
        <v>0</v>
      </c>
      <c r="X18" s="88">
        <f>'Request #22'!Y18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#22'!AA18,"OK","Alert,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#22'!V19,"OK","Send in Change Order")</f>
        <v>OK</v>
      </c>
      <c r="S19" s="85">
        <v>8</v>
      </c>
      <c r="T19" s="86" t="str">
        <f>'Request #22'!T19</f>
        <v>Other Contracts</v>
      </c>
      <c r="U19" s="218">
        <f>'Request #22'!U19</f>
        <v>0</v>
      </c>
      <c r="V19" s="87">
        <f>'Request #22'!V19</f>
        <v>0</v>
      </c>
      <c r="W19" s="88">
        <f>SUMIF(F7:F79,8,E7:E79)</f>
        <v>0</v>
      </c>
      <c r="X19" s="88">
        <f>'Request #22'!Y19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#22'!AA19,"OK","Alert,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#22'!V20,"OK","Send in Change Order")</f>
        <v>OK</v>
      </c>
      <c r="S20" s="85">
        <v>9</v>
      </c>
      <c r="T20" s="86" t="str">
        <f>'Request #22'!T20</f>
        <v>Other Contracts</v>
      </c>
      <c r="U20" s="218">
        <f>'Request #22'!U20</f>
        <v>0</v>
      </c>
      <c r="V20" s="87">
        <f>'Request #22'!V20</f>
        <v>0</v>
      </c>
      <c r="W20" s="88">
        <f>SUMIF(F7:F79,9,E7:E79)</f>
        <v>0</v>
      </c>
      <c r="X20" s="88">
        <f>'Request #22'!Y20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#22'!AA20,"OK","Alert,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#22'!V21,"OK","Send in Change Order")</f>
        <v>OK</v>
      </c>
      <c r="S21" s="85">
        <v>10</v>
      </c>
      <c r="T21" s="86" t="str">
        <f>'Request #22'!T21</f>
        <v>Other Contracts</v>
      </c>
      <c r="U21" s="218">
        <f>'Request #22'!U21</f>
        <v>0</v>
      </c>
      <c r="V21" s="87">
        <f>'Request #22'!V21</f>
        <v>0</v>
      </c>
      <c r="W21" s="88">
        <f>SUMIF(F7:F79,10,E7:E79)</f>
        <v>0</v>
      </c>
      <c r="X21" s="88">
        <f>'Request #22'!Y21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#22'!AA21,"OK","Alert,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#22'!V22,"OK","Send in Change Order")</f>
        <v>OK</v>
      </c>
      <c r="S22" s="85">
        <v>11</v>
      </c>
      <c r="T22" s="86" t="str">
        <f>'Request #22'!T22</f>
        <v>Other Contracts</v>
      </c>
      <c r="U22" s="218">
        <f>'Request #22'!U22</f>
        <v>0</v>
      </c>
      <c r="V22" s="87">
        <f>'Request #22'!V22</f>
        <v>0</v>
      </c>
      <c r="W22" s="88">
        <f>SUMIF(F7:F79,11,E7:E79)</f>
        <v>0</v>
      </c>
      <c r="X22" s="88">
        <f>'Request #22'!Y22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#22'!AA22,"OK","Alert,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#22'!V23,"OK","Send in Change Order")</f>
        <v>OK</v>
      </c>
      <c r="S23" s="85">
        <v>12</v>
      </c>
      <c r="T23" s="86" t="str">
        <f>'Request #22'!T23</f>
        <v>Other Contracts</v>
      </c>
      <c r="U23" s="218">
        <f>'Request #22'!U23</f>
        <v>0</v>
      </c>
      <c r="V23" s="87">
        <f>'Request #22'!V23</f>
        <v>0</v>
      </c>
      <c r="W23" s="88">
        <f>SUMIF(F7:F79,12,E7:E79)</f>
        <v>0</v>
      </c>
      <c r="X23" s="88">
        <f>'Request #22'!Y23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#22'!AA23,"OK","Alert,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#22'!V24,"OK","Send in Change Order")</f>
        <v>OK</v>
      </c>
      <c r="S24" s="85">
        <v>13</v>
      </c>
      <c r="T24" s="86" t="str">
        <f>'Request #22'!T24</f>
        <v>Other Contracts</v>
      </c>
      <c r="U24" s="218">
        <f>'Request #22'!U24</f>
        <v>0</v>
      </c>
      <c r="V24" s="87">
        <f>'Request #22'!V24</f>
        <v>0</v>
      </c>
      <c r="W24" s="88">
        <f>SUMIF(F7:F79,13,E7:E79)</f>
        <v>0</v>
      </c>
      <c r="X24" s="88">
        <f>'Request #22'!Y24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#22'!AA24,"OK","Alert,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#22'!V25,"OK","Send in Change Order")</f>
        <v>OK</v>
      </c>
      <c r="S25" s="85">
        <v>14</v>
      </c>
      <c r="T25" s="86" t="str">
        <f>'Request #22'!T25</f>
        <v>Other Contracts</v>
      </c>
      <c r="U25" s="218">
        <f>'Request #22'!U25</f>
        <v>0</v>
      </c>
      <c r="V25" s="87">
        <f>'Request #22'!V25</f>
        <v>0</v>
      </c>
      <c r="W25" s="88">
        <f>SUMIF(F7:F79,14,E7:E79)</f>
        <v>0</v>
      </c>
      <c r="X25" s="88">
        <f>'Request #22'!Y25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#22'!AA25,"OK","Alert,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#22'!V26,"OK","Send in Change Order")</f>
        <v>OK</v>
      </c>
      <c r="S26" s="85">
        <v>15</v>
      </c>
      <c r="T26" s="86" t="str">
        <f>'Request #22'!T26</f>
        <v>Other Contracts</v>
      </c>
      <c r="U26" s="218">
        <f>'Request #22'!U26</f>
        <v>0</v>
      </c>
      <c r="V26" s="87">
        <f>'Request #22'!V26</f>
        <v>0</v>
      </c>
      <c r="W26" s="88">
        <f>SUMIF(F7:F79,15,E7:E79)</f>
        <v>0</v>
      </c>
      <c r="X26" s="88">
        <f>'Request #22'!Y26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#22'!AA26,"OK","Alert,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#22'!V27,"OK","Send in Change Order")</f>
        <v>OK</v>
      </c>
      <c r="S27" s="85">
        <v>16</v>
      </c>
      <c r="T27" s="86" t="str">
        <f>'Request #22'!T27</f>
        <v>Other Contracts</v>
      </c>
      <c r="U27" s="218">
        <f>'Request #22'!U27</f>
        <v>0</v>
      </c>
      <c r="V27" s="87">
        <f>'Request #22'!V27</f>
        <v>0</v>
      </c>
      <c r="W27" s="88">
        <f>SUMIF(F7:F79,16,E7:E79)</f>
        <v>0</v>
      </c>
      <c r="X27" s="88">
        <f>'Request #22'!Y27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#22'!AA27,"OK","Alert,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#22'!V28,"OK","Send in Change Order")</f>
        <v>OK</v>
      </c>
      <c r="S28" s="85">
        <v>17</v>
      </c>
      <c r="T28" s="86" t="str">
        <f>'Request #22'!T28</f>
        <v>Other Contracts</v>
      </c>
      <c r="U28" s="218">
        <f>'Request #22'!U28</f>
        <v>0</v>
      </c>
      <c r="V28" s="87">
        <f>'Request #22'!V28</f>
        <v>0</v>
      </c>
      <c r="W28" s="88">
        <f>SUMIF(F7:F79,17,E7:E79)</f>
        <v>0</v>
      </c>
      <c r="X28" s="88">
        <f>'Request #22'!Y28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#22'!AA28,"OK","Alert,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#22'!V29,"OK","Send in Change Order")</f>
        <v>OK</v>
      </c>
      <c r="S29" s="85">
        <v>18</v>
      </c>
      <c r="T29" s="86" t="str">
        <f>'Request #22'!T29</f>
        <v>Other Contracts</v>
      </c>
      <c r="U29" s="218">
        <f>'Request #22'!U29</f>
        <v>0</v>
      </c>
      <c r="V29" s="87">
        <f>'Request #22'!V29</f>
        <v>0</v>
      </c>
      <c r="W29" s="88">
        <f>SUMIF(F7:F79,18,E7:E79)</f>
        <v>0</v>
      </c>
      <c r="X29" s="88">
        <f>'Request #22'!Y29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#22'!AA29,"OK","Alert,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#22'!V30,"OK","Send in Change Order")</f>
        <v>OK</v>
      </c>
      <c r="S30" s="85">
        <v>19</v>
      </c>
      <c r="T30" s="86" t="str">
        <f>'Request #22'!T30</f>
        <v>Other Contracts</v>
      </c>
      <c r="U30" s="218">
        <f>'Request #22'!U30</f>
        <v>0</v>
      </c>
      <c r="V30" s="87">
        <f>'Request #22'!V30</f>
        <v>0</v>
      </c>
      <c r="W30" s="88">
        <f>SUMIF(F7:F79,19,E7:E79)</f>
        <v>0</v>
      </c>
      <c r="X30" s="88">
        <f>'Request #22'!Y30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#22'!AA30,"OK","Alert,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#22'!V31,"OK","Send in Change Order")</f>
        <v>OK</v>
      </c>
      <c r="S31" s="85">
        <v>20</v>
      </c>
      <c r="T31" s="86" t="str">
        <f>'Request #22'!T31</f>
        <v>Other Contracts</v>
      </c>
      <c r="U31" s="218">
        <f>'Request #22'!U31</f>
        <v>0</v>
      </c>
      <c r="V31" s="87">
        <f>'Request #22'!V31</f>
        <v>0</v>
      </c>
      <c r="W31" s="88">
        <f>SUMIF(F7:F79,20,E7:E79)</f>
        <v>0</v>
      </c>
      <c r="X31" s="88">
        <f>'Request #22'!Y31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#22'!AA31,"OK","Alert,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#22'!V32,"OK","Send in Change Order")</f>
        <v>OK</v>
      </c>
      <c r="S32" s="85">
        <v>21</v>
      </c>
      <c r="T32" s="86" t="str">
        <f>'Request #22'!T32</f>
        <v>Other Contracts</v>
      </c>
      <c r="U32" s="218">
        <f>'Request #22'!U32</f>
        <v>0</v>
      </c>
      <c r="V32" s="87">
        <f>'Request #22'!V32</f>
        <v>0</v>
      </c>
      <c r="W32" s="88">
        <f>SUMIF(F7:F79,21,E7:E79)</f>
        <v>0</v>
      </c>
      <c r="X32" s="88">
        <f>'Request #22'!Y32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#22'!AA32,"OK","Alert,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#22'!V33,"OK","Send in Change Order")</f>
        <v>OK</v>
      </c>
      <c r="S33" s="85">
        <v>22</v>
      </c>
      <c r="T33" s="86" t="str">
        <f>'Request #22'!T33</f>
        <v>Other Contracts</v>
      </c>
      <c r="U33" s="218">
        <f>'Request #22'!U33</f>
        <v>0</v>
      </c>
      <c r="V33" s="87">
        <f>'Request #22'!V33</f>
        <v>0</v>
      </c>
      <c r="W33" s="88">
        <f>SUMIF(F7:F79,22,E7:E79)</f>
        <v>0</v>
      </c>
      <c r="X33" s="88">
        <f>'Request #22'!Y33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#22'!AA33,"OK","Alert,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#22'!V34,"OK","Send in Change Order")</f>
        <v>OK</v>
      </c>
      <c r="S34" s="85">
        <v>23</v>
      </c>
      <c r="T34" s="86" t="str">
        <f>'Request #22'!T34</f>
        <v>Other Contracts</v>
      </c>
      <c r="U34" s="218">
        <f>'Request #22'!U34</f>
        <v>0</v>
      </c>
      <c r="V34" s="87">
        <f>'Request #22'!V34</f>
        <v>0</v>
      </c>
      <c r="W34" s="88">
        <f>SUMIF(F7:F79,23,E7:E79)</f>
        <v>0</v>
      </c>
      <c r="X34" s="88">
        <f>'Request #22'!Y34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#22'!AA34,"OK","Alert,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#22'!V35,"OK","Send in Change Order")</f>
        <v>OK</v>
      </c>
      <c r="S35" s="85">
        <v>24</v>
      </c>
      <c r="T35" s="86" t="str">
        <f>'Request #22'!T35</f>
        <v>Other Contracts</v>
      </c>
      <c r="U35" s="218">
        <f>'Request #22'!U35</f>
        <v>0</v>
      </c>
      <c r="V35" s="87">
        <f>'Request #22'!V35</f>
        <v>0</v>
      </c>
      <c r="W35" s="88">
        <f>SUMIF(F7:F79,24,E7:E79)</f>
        <v>0</v>
      </c>
      <c r="X35" s="88">
        <f>'Request #22'!Y35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#22'!AA35,"OK","Alert,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#22'!V36,"OK","Send in Change Order")</f>
        <v>OK</v>
      </c>
      <c r="S36" s="85">
        <v>25</v>
      </c>
      <c r="T36" s="86" t="str">
        <f>'Request #22'!T36</f>
        <v>Other Contracts</v>
      </c>
      <c r="U36" s="218">
        <f>'Request #22'!U36</f>
        <v>0</v>
      </c>
      <c r="V36" s="87">
        <f>'Request #22'!V36</f>
        <v>0</v>
      </c>
      <c r="W36" s="88">
        <f>SUMIF(F7:F79,25,E7:E79)</f>
        <v>0</v>
      </c>
      <c r="X36" s="88">
        <f>'Request #22'!Y36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#22'!AA36,"OK","Alert,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#22'!V37,"OK","Send in Change Order")</f>
        <v>OK</v>
      </c>
      <c r="S37" s="85">
        <v>26</v>
      </c>
      <c r="T37" s="86" t="str">
        <f>'Request #22'!T37</f>
        <v>Other Fees</v>
      </c>
      <c r="U37" s="218">
        <f>'Request #22'!U37</f>
        <v>0</v>
      </c>
      <c r="V37" s="87">
        <f>'Request #22'!V37</f>
        <v>0</v>
      </c>
      <c r="W37" s="88">
        <f>SUMIF(F7:F79,26,E7:E79)</f>
        <v>0</v>
      </c>
      <c r="X37" s="88">
        <f>'Request #22'!Y37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#22'!AA37,"OK","Alert,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#22'!V38,"OK","Send in Change Order")</f>
        <v>OK</v>
      </c>
      <c r="S38" s="85">
        <v>27</v>
      </c>
      <c r="T38" s="86" t="str">
        <f>'Request #22'!T38</f>
        <v>Other Fees</v>
      </c>
      <c r="U38" s="218">
        <f>'Request #22'!U38</f>
        <v>0</v>
      </c>
      <c r="V38" s="87">
        <f>'Request #22'!V38</f>
        <v>0</v>
      </c>
      <c r="W38" s="88">
        <f>SUMIF(F7:F79,27,E7:E79)</f>
        <v>0</v>
      </c>
      <c r="X38" s="88">
        <f>'Request #22'!Y38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#22'!AA38,"OK","Alert,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#22'!V39,"OK","Send in Change Order")</f>
        <v>OK</v>
      </c>
      <c r="S39" s="85">
        <v>28</v>
      </c>
      <c r="T39" s="86" t="str">
        <f>'Request #22'!T39</f>
        <v>Other Fees</v>
      </c>
      <c r="U39" s="218">
        <f>'Request #22'!U39</f>
        <v>0</v>
      </c>
      <c r="V39" s="87">
        <f>'Request #22'!V39</f>
        <v>0</v>
      </c>
      <c r="W39" s="88">
        <f>SUMIF(F7:F79,28,E7:E79)</f>
        <v>0</v>
      </c>
      <c r="X39" s="88">
        <f>'Request #22'!Y39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#22'!AA39,"OK","Alert,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#22'!V40,"OK","Send in Change Order")</f>
        <v>OK</v>
      </c>
      <c r="S40" s="85">
        <v>29</v>
      </c>
      <c r="T40" s="86" t="str">
        <f>'Request #22'!T40</f>
        <v>Other Fees</v>
      </c>
      <c r="U40" s="218">
        <f>'Request #22'!U40</f>
        <v>0</v>
      </c>
      <c r="V40" s="87">
        <f>'Request #22'!V40</f>
        <v>0</v>
      </c>
      <c r="W40" s="88">
        <f>SUMIF(F7:F79,29,E7:E79)</f>
        <v>0</v>
      </c>
      <c r="X40" s="88">
        <f>'Request #22'!Y40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#22'!AA40,"OK","Alert,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#22'!V41,"OK","Send in Change Order")</f>
        <v>OK</v>
      </c>
      <c r="S41" s="85">
        <v>30</v>
      </c>
      <c r="T41" s="86" t="str">
        <f>'Request #22'!T41</f>
        <v>Other Fees</v>
      </c>
      <c r="U41" s="218">
        <f>'Request #22'!U41</f>
        <v>0</v>
      </c>
      <c r="V41" s="87">
        <f>'Request #22'!V41</f>
        <v>0</v>
      </c>
      <c r="W41" s="88">
        <f>SUMIF(F7:F79,30,E7:E79)</f>
        <v>0</v>
      </c>
      <c r="X41" s="88">
        <f>'Request #22'!Y41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#22'!AA41,"OK","Alert,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#22'!V42,"OK","Send in Change Order")</f>
        <v>OK</v>
      </c>
      <c r="S42" s="85">
        <v>31</v>
      </c>
      <c r="T42" s="86" t="str">
        <f>'Request #22'!T42</f>
        <v>Other Fees</v>
      </c>
      <c r="U42" s="218">
        <f>'Request #22'!U42</f>
        <v>0</v>
      </c>
      <c r="V42" s="87">
        <f>'Request #22'!V42</f>
        <v>0</v>
      </c>
      <c r="W42" s="88">
        <f>SUMIF(F7:F79,31,E7:E79)</f>
        <v>0</v>
      </c>
      <c r="X42" s="88">
        <f>'Request #22'!Y42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#22'!AA42,"OK","Alert,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#22'!V43,"OK","Send in Change Order")</f>
        <v>OK</v>
      </c>
      <c r="S43" s="85">
        <v>32</v>
      </c>
      <c r="T43" s="86" t="str">
        <f>'Request #22'!T43</f>
        <v>Other Fees</v>
      </c>
      <c r="U43" s="218">
        <f>'Request #22'!U43</f>
        <v>0</v>
      </c>
      <c r="V43" s="87">
        <f>'Request #22'!V43</f>
        <v>0</v>
      </c>
      <c r="W43" s="88">
        <f>SUMIF(F7:F79,32,E7:E79)</f>
        <v>0</v>
      </c>
      <c r="X43" s="88">
        <f>'Request #22'!Y43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#22'!AA43,"OK","Alert,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#22'!V44,"OK","Send in Change Order")</f>
        <v>OK</v>
      </c>
      <c r="S44" s="85">
        <v>33</v>
      </c>
      <c r="T44" s="86" t="str">
        <f>'Request #22'!T44</f>
        <v>Other Fees</v>
      </c>
      <c r="U44" s="218">
        <f>'Request #22'!U44</f>
        <v>0</v>
      </c>
      <c r="V44" s="87">
        <f>'Request #22'!V44</f>
        <v>0</v>
      </c>
      <c r="W44" s="88">
        <f>SUMIF(F7:F79,33,E7:E79)</f>
        <v>0</v>
      </c>
      <c r="X44" s="88">
        <f>'Request #22'!Y44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#22'!AA44,"OK","Alert,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#22'!V49,"OK","Send in Change Order")</f>
        <v>OK</v>
      </c>
      <c r="S49" s="85">
        <v>38</v>
      </c>
      <c r="T49" s="86" t="str">
        <f>'Request #22'!T49</f>
        <v>Other Fees</v>
      </c>
      <c r="U49" s="218">
        <f>'Request #22'!U49</f>
        <v>0</v>
      </c>
      <c r="V49" s="87">
        <f>'Request #22'!V49</f>
        <v>0</v>
      </c>
      <c r="W49" s="88">
        <f>SUMIF(F7:F79,38,E7:E79)</f>
        <v>0</v>
      </c>
      <c r="X49" s="88">
        <f>'Request #22'!Y49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#22'!AA49,"OK","Alert,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#22'!V50,"OK","Send in Change Order")</f>
        <v>OK</v>
      </c>
      <c r="S50" s="85">
        <v>39</v>
      </c>
      <c r="T50" s="86" t="str">
        <f>'Request #22'!T50</f>
        <v>Other Fees</v>
      </c>
      <c r="U50" s="218">
        <f>'Request #22'!U50</f>
        <v>0</v>
      </c>
      <c r="V50" s="87">
        <f>'Request #22'!V50</f>
        <v>0</v>
      </c>
      <c r="W50" s="88">
        <f>SUMIF(F7:F79,39,E7:E79)</f>
        <v>0</v>
      </c>
      <c r="X50" s="88">
        <f>'Request #22'!Y50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#22'!AA50,"OK","Alert,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#22'!V51,"OK","Send in Change Order")</f>
        <v>OK</v>
      </c>
      <c r="S51" s="85">
        <v>40</v>
      </c>
      <c r="T51" s="86" t="str">
        <f>'Request #22'!T51</f>
        <v>Other Fees</v>
      </c>
      <c r="U51" s="218">
        <f>'Request #22'!U51</f>
        <v>0</v>
      </c>
      <c r="V51" s="87">
        <f>'Request #22'!V51</f>
        <v>0</v>
      </c>
      <c r="W51" s="88">
        <f>SUMIF(F7:F79,40,E7:E79)</f>
        <v>0</v>
      </c>
      <c r="X51" s="88">
        <f>'Request #22'!Y51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#22'!AA51,"OK","Alert,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#22'!V52,"OK","Send in Change Order")</f>
        <v>OK</v>
      </c>
      <c r="S52" s="85">
        <v>41</v>
      </c>
      <c r="T52" s="86" t="str">
        <f>'Request #22'!T52</f>
        <v>Other Fees</v>
      </c>
      <c r="U52" s="218">
        <f>'Request #22'!U52</f>
        <v>0</v>
      </c>
      <c r="V52" s="87">
        <f>'Request #22'!V52</f>
        <v>0</v>
      </c>
      <c r="W52" s="88">
        <f>SUMIF(F7:F79,41,E7:E79)</f>
        <v>0</v>
      </c>
      <c r="X52" s="88">
        <f>'Request #22'!Y52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#22'!AA52,"OK","Alert,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#22'!V53,"OK","Send in Change Order")</f>
        <v>OK</v>
      </c>
      <c r="S53" s="85">
        <v>42</v>
      </c>
      <c r="T53" s="86" t="str">
        <f>'Request #22'!T53</f>
        <v>Other Fees</v>
      </c>
      <c r="U53" s="218">
        <f>'Request #22'!U53</f>
        <v>0</v>
      </c>
      <c r="V53" s="87">
        <f>'Request #22'!V53</f>
        <v>0</v>
      </c>
      <c r="W53" s="88">
        <f>SUMIF(F7:F79,42,E7:E79)</f>
        <v>0</v>
      </c>
      <c r="X53" s="88">
        <f>'Request #22'!Y53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#22'!AA53,"OK","Alert,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#22'!V54,"OK","Send in Change Order")</f>
        <v>OK</v>
      </c>
      <c r="S54" s="85">
        <v>43</v>
      </c>
      <c r="T54" s="86" t="str">
        <f>'Request #22'!T54</f>
        <v>Other Fees</v>
      </c>
      <c r="U54" s="218">
        <f>'Request #22'!U54</f>
        <v>0</v>
      </c>
      <c r="V54" s="87">
        <f>'Request #22'!V54</f>
        <v>0</v>
      </c>
      <c r="W54" s="88">
        <f>SUMIF(F7:F79,43,E7:E79)</f>
        <v>0</v>
      </c>
      <c r="X54" s="88">
        <f>'Request #22'!Y54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#22'!AA54,"OK","Alert,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#22'!V55,"OK","Send in Change Order")</f>
        <v>OK</v>
      </c>
      <c r="S55" s="85">
        <v>44</v>
      </c>
      <c r="T55" s="86" t="str">
        <f>'Request #22'!T55</f>
        <v>Other Fees</v>
      </c>
      <c r="U55" s="218">
        <f>'Request #22'!U55</f>
        <v>0</v>
      </c>
      <c r="V55" s="87">
        <f>'Request #22'!V55</f>
        <v>0</v>
      </c>
      <c r="W55" s="88">
        <f>SUMIF(F7:F79,44,E7:E79)</f>
        <v>0</v>
      </c>
      <c r="X55" s="88">
        <f>'Request #22'!Y55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#22'!AA55,"OK","Alert,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#22'!V56,"OK","Send in Change Order")</f>
        <v>OK</v>
      </c>
      <c r="S56" s="85">
        <v>45</v>
      </c>
      <c r="T56" s="86" t="str">
        <f>'Request #22'!T56</f>
        <v>Other Fees</v>
      </c>
      <c r="U56" s="218">
        <f>'Request #22'!U56</f>
        <v>0</v>
      </c>
      <c r="V56" s="87">
        <f>'Request #22'!V56</f>
        <v>0</v>
      </c>
      <c r="W56" s="88">
        <f>SUMIF(F7:F79,45,E7:E79)</f>
        <v>0</v>
      </c>
      <c r="X56" s="88">
        <f>'Request #22'!Y56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#22'!AA56,"OK","Alert,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#22'!V57,"OK","Send in Change Order")</f>
        <v>OK</v>
      </c>
      <c r="S57" s="85">
        <v>46</v>
      </c>
      <c r="T57" s="86" t="str">
        <f>'Request #22'!T57</f>
        <v>Other Fees</v>
      </c>
      <c r="U57" s="218">
        <f>'Request #22'!U57</f>
        <v>0</v>
      </c>
      <c r="V57" s="87">
        <f>'Request #22'!V57</f>
        <v>0</v>
      </c>
      <c r="W57" s="88">
        <f>SUMIF(F7:F79,46,E7:E79)</f>
        <v>0</v>
      </c>
      <c r="X57" s="88">
        <f>'Request #22'!Y57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#22'!AA57,"OK","Alert,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#22'!V58,"OK","Send in Change Order")</f>
        <v>OK</v>
      </c>
      <c r="S58" s="85">
        <v>47</v>
      </c>
      <c r="T58" s="86" t="str">
        <f>'Request #22'!T58</f>
        <v>Other Fees</v>
      </c>
      <c r="U58" s="218">
        <f>'Request #22'!U58</f>
        <v>0</v>
      </c>
      <c r="V58" s="87">
        <f>'Request #22'!V58</f>
        <v>0</v>
      </c>
      <c r="W58" s="88">
        <f>SUMIF(F7:F79,47,E7:E79)</f>
        <v>0</v>
      </c>
      <c r="X58" s="88">
        <f>'Request #22'!Y58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#22'!AA58,"OK","Alert,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#22'!V59,"OK","Send in Change Order")</f>
        <v>OK</v>
      </c>
      <c r="S59" s="85">
        <v>48</v>
      </c>
      <c r="T59" s="86" t="str">
        <f>'Request #22'!T59</f>
        <v>Other Fees</v>
      </c>
      <c r="U59" s="218">
        <f>'Request #22'!U59</f>
        <v>0</v>
      </c>
      <c r="V59" s="87">
        <f>'Request #22'!V59</f>
        <v>0</v>
      </c>
      <c r="W59" s="88">
        <f>SUMIF(F7:F79,48,E7:E79)</f>
        <v>0</v>
      </c>
      <c r="X59" s="88">
        <f>'Request #22'!Y59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#22'!AA59,"OK","Alert,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#22'!V60,"OK","Send in Change Order")</f>
        <v>OK</v>
      </c>
      <c r="S60" s="85">
        <v>49</v>
      </c>
      <c r="T60" s="86" t="str">
        <f>'Request #22'!T60</f>
        <v>Other Fees</v>
      </c>
      <c r="U60" s="218">
        <f>'Request #22'!U60</f>
        <v>0</v>
      </c>
      <c r="V60" s="87">
        <f>'Request #22'!V60</f>
        <v>0</v>
      </c>
      <c r="W60" s="88">
        <f>SUMIF(F7:F79,49,E7:E79)</f>
        <v>0</v>
      </c>
      <c r="X60" s="88">
        <f>'Request #22'!Y60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#22'!AA60,"OK","Alert,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#22'!V61,"OK","Send in Change Order")</f>
        <v>OK</v>
      </c>
      <c r="S61" s="85">
        <v>50</v>
      </c>
      <c r="T61" s="86" t="str">
        <f>'Request #22'!T61</f>
        <v>Other Fees</v>
      </c>
      <c r="U61" s="218">
        <f>'Request #22'!U61</f>
        <v>0</v>
      </c>
      <c r="V61" s="87">
        <f>'Request #22'!V61</f>
        <v>0</v>
      </c>
      <c r="W61" s="88">
        <f>SUMIF(F7:F79,50,E7:E79)</f>
        <v>0</v>
      </c>
      <c r="X61" s="88">
        <f>'Request #22'!Y61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#22'!AA61,"OK","Alert,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#22'!V62,"OK","Send in Change Order")</f>
        <v>OK</v>
      </c>
      <c r="S62" s="85">
        <v>51</v>
      </c>
      <c r="T62" s="86" t="str">
        <f>'Request #22'!T62</f>
        <v>Other Fees</v>
      </c>
      <c r="U62" s="218">
        <f>'Request #22'!U62</f>
        <v>0</v>
      </c>
      <c r="V62" s="87">
        <f>'Request #22'!V62</f>
        <v>0</v>
      </c>
      <c r="W62" s="88">
        <f>SUMIF(F7:F79,51,E7:E79)</f>
        <v>0</v>
      </c>
      <c r="X62" s="88">
        <f>'Request #22'!Y62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#22'!AA62,"OK","Alert,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#22'!V63,"OK","Send in Change Order")</f>
        <v>OK</v>
      </c>
      <c r="S63" s="85">
        <v>52</v>
      </c>
      <c r="T63" s="86" t="str">
        <f>'Request #22'!T63</f>
        <v>Worked Performed by Owner</v>
      </c>
      <c r="U63" s="218">
        <f>'Request #22'!U63</f>
        <v>0</v>
      </c>
      <c r="V63" s="87">
        <f>'Request #22'!V63</f>
        <v>0</v>
      </c>
      <c r="W63" s="88">
        <f>SUMIF(F7:F79,52,E7:E79)</f>
        <v>0</v>
      </c>
      <c r="X63" s="88">
        <f>'Request #22'!Y63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#22'!AA63,"OK","Alert,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#22'!V64,"OK","Send in Change Order")</f>
        <v>OK</v>
      </c>
      <c r="S64" s="85">
        <v>53</v>
      </c>
      <c r="T64" s="86" t="str">
        <f>'Request #22'!T64</f>
        <v>Equipment (Major)</v>
      </c>
      <c r="U64" s="218">
        <f>'Request #22'!U64</f>
        <v>0</v>
      </c>
      <c r="V64" s="87">
        <f>'Request #22'!V64</f>
        <v>0</v>
      </c>
      <c r="W64" s="88">
        <f>SUMIF(F7:F79,53,E7:E79)</f>
        <v>0</v>
      </c>
      <c r="X64" s="88">
        <f>'Request #22'!Y64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#22'!AA64,"OK","Alert,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#22'!V65,"OK","Send in Change Order")</f>
        <v>OK</v>
      </c>
      <c r="S65" s="85">
        <v>54</v>
      </c>
      <c r="T65" s="102" t="s">
        <v>90</v>
      </c>
      <c r="U65" s="218">
        <f>'Request #22'!U65</f>
        <v>0</v>
      </c>
      <c r="V65" s="87">
        <f>'Request #22'!V65</f>
        <v>0</v>
      </c>
      <c r="W65" s="104"/>
      <c r="X65" s="88">
        <f>'Request #22'!Y65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#22'!AA65,"OK","Alert,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#22'!V66,"OK","Send in Change Order")</f>
        <v>OK</v>
      </c>
      <c r="S66" s="85">
        <v>55</v>
      </c>
      <c r="T66" s="86"/>
      <c r="U66" s="218">
        <f>'Request #22'!U66</f>
        <v>0</v>
      </c>
      <c r="V66" s="87">
        <f>'Request #22'!V66</f>
        <v>0</v>
      </c>
      <c r="W66" s="88">
        <f>SUMIF(F7:F79,55,E7:E79)</f>
        <v>0</v>
      </c>
      <c r="X66" s="88">
        <f>'Request #22'!Y66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#22'!AA66,"OK","Alert,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#22'!V67,"OK","Send in Change Order")</f>
        <v>OK</v>
      </c>
      <c r="S67" s="85">
        <v>56</v>
      </c>
      <c r="T67" s="79"/>
      <c r="U67" s="218">
        <f>'Request #22'!U67</f>
        <v>0</v>
      </c>
      <c r="V67" s="87">
        <f>'Request #22'!V67</f>
        <v>0</v>
      </c>
      <c r="W67" s="88">
        <f>SUMIF(F7:F79,56,E7:E79)</f>
        <v>0</v>
      </c>
      <c r="X67" s="88">
        <f>'Request #22'!Y67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#22'!AA67,"OK","Alert,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#22'!V68,"OK","Send in Change Order")</f>
        <v>OK</v>
      </c>
      <c r="S68" s="316" t="s">
        <v>60</v>
      </c>
      <c r="T68" s="317"/>
      <c r="U68" s="224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#22'!AA68,"OK","Alert,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25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226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27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28" t="e">
        <f>V72/V68</f>
        <v>#DIV/0!</v>
      </c>
      <c r="V72" s="88">
        <f>V68-V74-V73</f>
        <v>0</v>
      </c>
      <c r="W72" s="87">
        <v>0</v>
      </c>
      <c r="X72" s="88">
        <f>'Request #22'!Y72</f>
        <v>0</v>
      </c>
      <c r="Y72" s="88">
        <f t="shared" ref="Y72:Y73" si="8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#22'!V73,"OK","Send in Change Order")</f>
        <v>OK</v>
      </c>
      <c r="S73" s="86" t="s">
        <v>95</v>
      </c>
      <c r="T73" s="114"/>
      <c r="U73" s="228" t="e">
        <f>V73/V68</f>
        <v>#DIV/0!</v>
      </c>
      <c r="V73" s="87">
        <f>'Request #22'!V73</f>
        <v>0</v>
      </c>
      <c r="W73" s="87">
        <v>0</v>
      </c>
      <c r="X73" s="88">
        <f>'Request #22'!Y73</f>
        <v>0</v>
      </c>
      <c r="Y73" s="88">
        <f t="shared" si="8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#22'!V74,"OK","Send in Change Order")</f>
        <v>OK</v>
      </c>
      <c r="S74" s="120" t="s">
        <v>96</v>
      </c>
      <c r="T74" s="121"/>
      <c r="U74" s="228" t="e">
        <f>V74/V68</f>
        <v>#DIV/0!</v>
      </c>
      <c r="V74" s="87">
        <f>'Request #22'!V74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221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30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30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31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221"/>
      <c r="V80" s="55"/>
      <c r="W80" s="55"/>
      <c r="X80" s="138"/>
      <c r="Y80" s="45" t="s">
        <v>108</v>
      </c>
      <c r="Z80" s="43"/>
      <c r="AA80" s="88">
        <f>'Request #22'!AA79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23</v>
      </c>
      <c r="V87" s="55"/>
      <c r="W87" s="55"/>
      <c r="X87" s="138"/>
      <c r="Y87" s="45" t="s">
        <v>108</v>
      </c>
      <c r="Z87" s="43"/>
      <c r="AA87" s="88">
        <f>'Request #22'!AA86</f>
        <v>0</v>
      </c>
      <c r="AB87" s="110"/>
    </row>
    <row r="88" spans="1:28" ht="30" customHeight="1" thickBot="1" x14ac:dyDescent="0.35">
      <c r="S88" s="55"/>
      <c r="T88" s="55"/>
      <c r="U88" s="221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221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221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221"/>
      <c r="V91" s="55"/>
      <c r="W91" s="55"/>
      <c r="X91" s="55"/>
    </row>
    <row r="92" spans="1:28" ht="30" customHeight="1" x14ac:dyDescent="0.3">
      <c r="S92" s="55"/>
      <c r="T92" s="55"/>
      <c r="U92" s="221"/>
      <c r="V92" s="55"/>
      <c r="W92" s="55"/>
      <c r="X92" s="55"/>
    </row>
    <row r="93" spans="1:28" ht="30" customHeight="1" x14ac:dyDescent="0.3">
      <c r="S93" s="55"/>
      <c r="T93" s="55"/>
      <c r="U93" s="221"/>
      <c r="V93" s="55"/>
      <c r="W93" s="55"/>
      <c r="X93" s="55"/>
    </row>
    <row r="94" spans="1:28" ht="30" customHeight="1" x14ac:dyDescent="0.3">
      <c r="S94" s="55"/>
      <c r="T94" s="55"/>
      <c r="U94" s="221"/>
      <c r="V94" s="55"/>
      <c r="W94" s="55"/>
      <c r="X94" s="55"/>
    </row>
    <row r="95" spans="1:28" ht="30" customHeight="1" x14ac:dyDescent="0.3">
      <c r="S95" s="55"/>
      <c r="T95" s="55"/>
      <c r="U95" s="221"/>
      <c r="V95" s="55"/>
      <c r="W95" s="55"/>
      <c r="X95" s="55"/>
    </row>
    <row r="96" spans="1:28" ht="30" customHeight="1" x14ac:dyDescent="0.3">
      <c r="S96" s="55"/>
      <c r="T96" s="55"/>
      <c r="U96" s="221"/>
      <c r="V96" s="55"/>
      <c r="W96" s="55"/>
      <c r="X96" s="55"/>
    </row>
    <row r="97" spans="15:24" ht="30" customHeight="1" x14ac:dyDescent="0.3">
      <c r="S97" s="55"/>
      <c r="T97" s="55"/>
      <c r="U97" s="221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DSRXt0H8sYI+k0nl1qAqNy/sLnsfdme89aUNc1ufs2DAO0Em6EZ913yiXH2TuJS0dksvmMT1hq0FuJIZU7PLdg==" saltValue="N7Q3xclDt1enRZtrTX6alg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233" priority="9" operator="containsText" text="Change">
      <formula>NOT(ISERROR(SEARCH("Change",R1)))</formula>
    </cfRule>
  </conditionalFormatting>
  <conditionalFormatting sqref="R45:R48">
    <cfRule type="cellIs" dxfId="232" priority="7" operator="equal">
      <formula>"Send in Change Order"</formula>
    </cfRule>
  </conditionalFormatting>
  <conditionalFormatting sqref="W68">
    <cfRule type="cellIs" dxfId="231" priority="2" operator="notEqual">
      <formula>$E$82</formula>
    </cfRule>
    <cfRule type="cellIs" dxfId="230" priority="3" operator="greaterThan">
      <formula>$E$82</formula>
    </cfRule>
    <cfRule type="cellIs" dxfId="229" priority="4" operator="notEqual">
      <formula>$E$82</formula>
    </cfRule>
  </conditionalFormatting>
  <conditionalFormatting sqref="Z12:Z44">
    <cfRule type="cellIs" dxfId="228" priority="8" operator="lessThan">
      <formula>0</formula>
    </cfRule>
  </conditionalFormatting>
  <conditionalFormatting sqref="Z49:Z68">
    <cfRule type="cellIs" dxfId="227" priority="5" operator="lessThan">
      <formula>0</formula>
    </cfRule>
  </conditionalFormatting>
  <conditionalFormatting sqref="AA68">
    <cfRule type="cellIs" dxfId="226" priority="1" operator="notEqual">
      <formula>$O$82</formula>
    </cfRule>
  </conditionalFormatting>
  <conditionalFormatting sqref="AB1:AB1048576">
    <cfRule type="containsText" dxfId="225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1" manualBreakCount="11">
    <brk id="6" max="88" man="1"/>
    <brk id="10" max="1048575" man="1"/>
    <brk id="16" max="88" man="1"/>
    <brk id="18" max="1048575" man="1"/>
    <brk id="27" max="88" man="1"/>
    <brk id="29" max="1048575" man="1"/>
    <brk id="52" max="1048575" man="1"/>
    <brk id="99" max="1048575" man="1"/>
    <brk id="101" max="1048575" man="1"/>
    <brk id="110" max="1048575" man="1"/>
    <brk id="111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664062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109375" style="50" customWidth="1"/>
    <col min="19" max="19" width="6.21875" style="39" customWidth="1"/>
    <col min="20" max="20" width="30.5546875" style="39" customWidth="1"/>
    <col min="21" max="21" width="17.77734375" style="219" customWidth="1"/>
    <col min="22" max="27" width="18.88671875" style="39" customWidth="1"/>
    <col min="28" max="28" width="24.33203125" style="50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178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220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24</v>
      </c>
      <c r="AB3" s="179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220"/>
      <c r="V4" s="59"/>
      <c r="W4" s="55"/>
      <c r="X4" s="55"/>
      <c r="Y4" s="55"/>
      <c r="Z4" s="62" t="s">
        <v>11</v>
      </c>
      <c r="AA4" s="65">
        <f>'Project Info'!F13</f>
        <v>0</v>
      </c>
      <c r="AB4" s="18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220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181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221"/>
      <c r="V6" s="55"/>
      <c r="W6" s="55"/>
      <c r="X6" s="55"/>
      <c r="Y6" s="55"/>
      <c r="Z6" s="53"/>
      <c r="AA6" s="55"/>
      <c r="AB6" s="18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182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G39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22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182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ref="H9:I24" si="2">T14</f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23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182"/>
      <c r="AE9" s="268" t="s">
        <v>49</v>
      </c>
      <c r="AF9" s="77" t="s">
        <v>24</v>
      </c>
      <c r="AG9" s="283">
        <f>AA3</f>
        <v>24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2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182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2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218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2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#23'!V12,"OK","Send in Change Order")</f>
        <v>OK</v>
      </c>
      <c r="S12" s="85">
        <v>1</v>
      </c>
      <c r="T12" s="86" t="str">
        <f>'Request #23'!T12</f>
        <v>Land/Site Grading &amp; Improv.</v>
      </c>
      <c r="U12" s="218">
        <f>'Request #23'!U12</f>
        <v>0</v>
      </c>
      <c r="V12" s="87">
        <f>'Request #23'!V12</f>
        <v>0</v>
      </c>
      <c r="W12" s="88">
        <f>SUMIF(F7:F79,1,E7:E79)</f>
        <v>0</v>
      </c>
      <c r="X12" s="88">
        <f>'Request #23'!Y12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4" t="str">
        <f>IF(W12&gt;='Request #23'!AA12,"OK","Alert,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2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#23'!V13,"OK","Send in Change Order")</f>
        <v>OK</v>
      </c>
      <c r="S13" s="85">
        <v>2</v>
      </c>
      <c r="T13" s="86" t="str">
        <f>'Request #23'!T13</f>
        <v xml:space="preserve">General Contract </v>
      </c>
      <c r="U13" s="218">
        <f>'Request #23'!U13</f>
        <v>0</v>
      </c>
      <c r="V13" s="87">
        <f>'Request #23'!V13</f>
        <v>0</v>
      </c>
      <c r="W13" s="88">
        <f>SUMIF(F7:F79,2,E7:E79)</f>
        <v>0</v>
      </c>
      <c r="X13" s="88">
        <f>'Request #23'!Y13</f>
        <v>0</v>
      </c>
      <c r="Y13" s="88">
        <f t="shared" ref="Y13:Y67" si="3">W13+X13</f>
        <v>0</v>
      </c>
      <c r="Z13" s="88">
        <f t="shared" ref="Z13:Z67" si="4">V13-Y13</f>
        <v>0</v>
      </c>
      <c r="AA13" s="88">
        <f>SUMIF(P7:P79,2,O7:O79)</f>
        <v>0</v>
      </c>
      <c r="AB13" s="54" t="str">
        <f>IF(W13&gt;='Request #23'!AA13,"OK","Alert,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2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#23'!V14,"OK","Send in Change Order")</f>
        <v>OK</v>
      </c>
      <c r="S14" s="85">
        <v>3</v>
      </c>
      <c r="T14" s="86" t="str">
        <f>'Request #23'!T14</f>
        <v>Designer Contract</v>
      </c>
      <c r="U14" s="218">
        <f>'Request #23'!U14</f>
        <v>0</v>
      </c>
      <c r="V14" s="87">
        <f>'Request #23'!V14</f>
        <v>0</v>
      </c>
      <c r="W14" s="88">
        <f>SUMIF(F7:F79,3,E7:E79)</f>
        <v>0</v>
      </c>
      <c r="X14" s="88">
        <f>'Request #23'!Y14</f>
        <v>0</v>
      </c>
      <c r="Y14" s="88">
        <f t="shared" si="3"/>
        <v>0</v>
      </c>
      <c r="Z14" s="88">
        <f t="shared" si="4"/>
        <v>0</v>
      </c>
      <c r="AA14" s="88">
        <f>SUMIF(P7:P79,3,O7:O79)</f>
        <v>0</v>
      </c>
      <c r="AB14" s="54" t="str">
        <f>IF(W14&gt;='Request #23'!AA14,"OK","Alert,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2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#23'!V15,"OK","Send in Change Order")</f>
        <v>OK</v>
      </c>
      <c r="S15" s="85">
        <v>4</v>
      </c>
      <c r="T15" s="86" t="str">
        <f>'Request #23'!T15</f>
        <v>Designer Reimbursables</v>
      </c>
      <c r="U15" s="218">
        <f>'Request #23'!U15</f>
        <v>0</v>
      </c>
      <c r="V15" s="87">
        <f>'Request #23'!V15</f>
        <v>0</v>
      </c>
      <c r="W15" s="88">
        <f>SUMIF(F7:F79,4,E7:E79)</f>
        <v>0</v>
      </c>
      <c r="X15" s="88">
        <f>'Request #23'!Y15</f>
        <v>0</v>
      </c>
      <c r="Y15" s="88">
        <f t="shared" si="3"/>
        <v>0</v>
      </c>
      <c r="Z15" s="88">
        <f t="shared" si="4"/>
        <v>0</v>
      </c>
      <c r="AA15" s="88">
        <f>SUMIF(P7:P79,4,O7:O79)</f>
        <v>0</v>
      </c>
      <c r="AB15" s="54" t="str">
        <f>IF(W15&gt;='Request #23'!AA15,"OK","Alert,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2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#23'!V16,"OK","Send in Change Order")</f>
        <v>OK</v>
      </c>
      <c r="S16" s="85">
        <v>5</v>
      </c>
      <c r="T16" s="86" t="str">
        <f>'Request #23'!T16</f>
        <v>Other Contracts</v>
      </c>
      <c r="U16" s="218">
        <f>'Request #23'!U16</f>
        <v>0</v>
      </c>
      <c r="V16" s="87">
        <f>'Request #23'!V16</f>
        <v>0</v>
      </c>
      <c r="W16" s="88">
        <f>SUMIF(F7:F79,5,E7:E79)</f>
        <v>0</v>
      </c>
      <c r="X16" s="88">
        <f>'Request #23'!Y16</f>
        <v>0</v>
      </c>
      <c r="Y16" s="88">
        <f t="shared" si="3"/>
        <v>0</v>
      </c>
      <c r="Z16" s="88">
        <f t="shared" si="4"/>
        <v>0</v>
      </c>
      <c r="AA16" s="88">
        <f>SUMIF(P7:P79,5,O7:O79)</f>
        <v>0</v>
      </c>
      <c r="AB16" s="54" t="str">
        <f>IF(W16&gt;='Request #23'!AA16,"OK","Alert,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2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#23'!V17,"OK","Send in Change Order")</f>
        <v>OK</v>
      </c>
      <c r="S17" s="85">
        <v>6</v>
      </c>
      <c r="T17" s="86" t="str">
        <f>'Request #23'!T17</f>
        <v>Other Contracts</v>
      </c>
      <c r="U17" s="218">
        <f>'Request #23'!U17</f>
        <v>0</v>
      </c>
      <c r="V17" s="87">
        <f>'Request #23'!V17</f>
        <v>0</v>
      </c>
      <c r="W17" s="88">
        <f>SUMIF(F7:F79,6,E7:E79)</f>
        <v>0</v>
      </c>
      <c r="X17" s="88">
        <f>'Request #23'!Y17</f>
        <v>0</v>
      </c>
      <c r="Y17" s="88">
        <f t="shared" si="3"/>
        <v>0</v>
      </c>
      <c r="Z17" s="88">
        <f t="shared" si="4"/>
        <v>0</v>
      </c>
      <c r="AA17" s="88">
        <f>SUMIF(P7:P79,6,O7:O79)</f>
        <v>0</v>
      </c>
      <c r="AB17" s="54" t="str">
        <f>IF(W17&gt;='Request #23'!AA17,"OK","Alert,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2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#23'!V18,"OK","Send in Change Order")</f>
        <v>OK</v>
      </c>
      <c r="S18" s="85">
        <v>7</v>
      </c>
      <c r="T18" s="86" t="str">
        <f>'Request #23'!T18</f>
        <v>Other Contracts</v>
      </c>
      <c r="U18" s="218">
        <f>'Request #23'!U18</f>
        <v>0</v>
      </c>
      <c r="V18" s="87">
        <f>'Request #23'!V18</f>
        <v>0</v>
      </c>
      <c r="W18" s="88">
        <f>SUMIF(F7:F79,7,E7:E79)</f>
        <v>0</v>
      </c>
      <c r="X18" s="88">
        <f>'Request #23'!Y18</f>
        <v>0</v>
      </c>
      <c r="Y18" s="88">
        <f t="shared" si="3"/>
        <v>0</v>
      </c>
      <c r="Z18" s="88">
        <f t="shared" si="4"/>
        <v>0</v>
      </c>
      <c r="AA18" s="88">
        <f>SUMIF(P7:P79,7,O7:O79)</f>
        <v>0</v>
      </c>
      <c r="AB18" s="54" t="str">
        <f>IF(W18&gt;='Request #23'!AA18,"OK","Alert,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2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#23'!V19,"OK","Send in Change Order")</f>
        <v>OK</v>
      </c>
      <c r="S19" s="85">
        <v>8</v>
      </c>
      <c r="T19" s="86" t="str">
        <f>'Request #23'!T19</f>
        <v>Other Contracts</v>
      </c>
      <c r="U19" s="218">
        <f>'Request #23'!U19</f>
        <v>0</v>
      </c>
      <c r="V19" s="87">
        <f>'Request #23'!V19</f>
        <v>0</v>
      </c>
      <c r="W19" s="88">
        <f>SUMIF(F7:F79,8,E7:E79)</f>
        <v>0</v>
      </c>
      <c r="X19" s="88">
        <f>'Request #23'!Y19</f>
        <v>0</v>
      </c>
      <c r="Y19" s="88">
        <f t="shared" si="3"/>
        <v>0</v>
      </c>
      <c r="Z19" s="88">
        <f t="shared" si="4"/>
        <v>0</v>
      </c>
      <c r="AA19" s="88">
        <f>SUMIF(P7:P79,8,O7:O79)</f>
        <v>0</v>
      </c>
      <c r="AB19" s="54" t="str">
        <f>IF(W19&gt;='Request #23'!AA19,"OK","Alert,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2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#23'!V20,"OK","Send in Change Order")</f>
        <v>OK</v>
      </c>
      <c r="S20" s="85">
        <v>9</v>
      </c>
      <c r="T20" s="86" t="str">
        <f>'Request #23'!T20</f>
        <v>Other Contracts</v>
      </c>
      <c r="U20" s="218">
        <f>'Request #23'!U20</f>
        <v>0</v>
      </c>
      <c r="V20" s="87">
        <f>'Request #23'!V20</f>
        <v>0</v>
      </c>
      <c r="W20" s="88">
        <f>SUMIF(F7:F79,9,E7:E79)</f>
        <v>0</v>
      </c>
      <c r="X20" s="88">
        <f>'Request #23'!Y20</f>
        <v>0</v>
      </c>
      <c r="Y20" s="88">
        <f t="shared" si="3"/>
        <v>0</v>
      </c>
      <c r="Z20" s="88">
        <f t="shared" si="4"/>
        <v>0</v>
      </c>
      <c r="AA20" s="88">
        <f>SUMIF(P7:P79,9,O7:O79)</f>
        <v>0</v>
      </c>
      <c r="AB20" s="54" t="str">
        <f>IF(W20&gt;='Request #23'!AA20,"OK","Alert,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2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#23'!V21,"OK","Send in Change Order")</f>
        <v>OK</v>
      </c>
      <c r="S21" s="85">
        <v>10</v>
      </c>
      <c r="T21" s="86" t="str">
        <f>'Request #23'!T21</f>
        <v>Other Contracts</v>
      </c>
      <c r="U21" s="218">
        <f>'Request #23'!U21</f>
        <v>0</v>
      </c>
      <c r="V21" s="87">
        <f>'Request #23'!V21</f>
        <v>0</v>
      </c>
      <c r="W21" s="88">
        <f>SUMIF(F7:F79,10,E7:E79)</f>
        <v>0</v>
      </c>
      <c r="X21" s="88">
        <f>'Request #23'!Y21</f>
        <v>0</v>
      </c>
      <c r="Y21" s="88">
        <f t="shared" si="3"/>
        <v>0</v>
      </c>
      <c r="Z21" s="88">
        <f t="shared" si="4"/>
        <v>0</v>
      </c>
      <c r="AA21" s="88">
        <f>SUMIF(P7:P79,10,O7:O79)</f>
        <v>0</v>
      </c>
      <c r="AB21" s="54" t="str">
        <f>IF(W21&gt;='Request #23'!AA21,"OK","Alert,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2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#23'!V22,"OK","Send in Change Order")</f>
        <v>OK</v>
      </c>
      <c r="S22" s="85">
        <v>11</v>
      </c>
      <c r="T22" s="86" t="str">
        <f>'Request #23'!T22</f>
        <v>Other Contracts</v>
      </c>
      <c r="U22" s="218">
        <f>'Request #23'!U22</f>
        <v>0</v>
      </c>
      <c r="V22" s="87">
        <f>'Request #23'!V22</f>
        <v>0</v>
      </c>
      <c r="W22" s="88">
        <f>SUMIF(F7:F79,11,E7:E79)</f>
        <v>0</v>
      </c>
      <c r="X22" s="88">
        <f>'Request #23'!Y22</f>
        <v>0</v>
      </c>
      <c r="Y22" s="88">
        <f t="shared" si="3"/>
        <v>0</v>
      </c>
      <c r="Z22" s="88">
        <f t="shared" si="4"/>
        <v>0</v>
      </c>
      <c r="AA22" s="88">
        <f>SUMIF(P7:P79,11,O7:O79)</f>
        <v>0</v>
      </c>
      <c r="AB22" s="54" t="str">
        <f>IF(W22&gt;='Request #23'!AA22,"OK","Alert,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2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#23'!V23,"OK","Send in Change Order")</f>
        <v>OK</v>
      </c>
      <c r="S23" s="85">
        <v>12</v>
      </c>
      <c r="T23" s="86" t="str">
        <f>'Request #23'!T23</f>
        <v>Other Contracts</v>
      </c>
      <c r="U23" s="218">
        <f>'Request #23'!U23</f>
        <v>0</v>
      </c>
      <c r="V23" s="87">
        <f>'Request #23'!V23</f>
        <v>0</v>
      </c>
      <c r="W23" s="88">
        <f>SUMIF(F7:F79,12,E7:E79)</f>
        <v>0</v>
      </c>
      <c r="X23" s="88">
        <f>'Request #23'!Y23</f>
        <v>0</v>
      </c>
      <c r="Y23" s="88">
        <f t="shared" si="3"/>
        <v>0</v>
      </c>
      <c r="Z23" s="88">
        <f t="shared" si="4"/>
        <v>0</v>
      </c>
      <c r="AA23" s="88">
        <f>SUMIF(P7:P79,12,O7:O79)</f>
        <v>0</v>
      </c>
      <c r="AB23" s="54" t="str">
        <f>IF(W23&gt;='Request #23'!AA23,"OK","Alert,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2"/>
        <v>Other Contracts</v>
      </c>
      <c r="I24" s="247">
        <f t="shared" si="2"/>
        <v>0</v>
      </c>
      <c r="K24" s="159"/>
      <c r="L24" s="157"/>
      <c r="M24" s="157"/>
      <c r="N24" s="154"/>
      <c r="O24" s="155"/>
      <c r="P24" s="158"/>
      <c r="R24" s="50" t="str">
        <f>IF(V24='Request #23'!V24,"OK","Send in Change Order")</f>
        <v>OK</v>
      </c>
      <c r="S24" s="85">
        <v>13</v>
      </c>
      <c r="T24" s="86" t="str">
        <f>'Request #23'!T24</f>
        <v>Other Contracts</v>
      </c>
      <c r="U24" s="218">
        <f>'Request #23'!U24</f>
        <v>0</v>
      </c>
      <c r="V24" s="87">
        <f>'Request #23'!V24</f>
        <v>0</v>
      </c>
      <c r="W24" s="88">
        <f>SUMIF(F7:F79,13,E7:E79)</f>
        <v>0</v>
      </c>
      <c r="X24" s="88">
        <f>'Request #23'!Y24</f>
        <v>0</v>
      </c>
      <c r="Y24" s="88">
        <f t="shared" si="3"/>
        <v>0</v>
      </c>
      <c r="Z24" s="88">
        <f t="shared" si="4"/>
        <v>0</v>
      </c>
      <c r="AA24" s="88">
        <f>SUMIF(P7:P79,13,O7:O79)</f>
        <v>0</v>
      </c>
      <c r="AB24" s="54" t="str">
        <f>IF(W24&gt;='Request #23'!AA24,"OK","Alert,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si="0"/>
        <v>19</v>
      </c>
      <c r="H25" s="205" t="str">
        <f t="shared" ref="H25:I40" si="5">T30</f>
        <v>Other Contracts</v>
      </c>
      <c r="I25" s="247">
        <f t="shared" si="5"/>
        <v>0</v>
      </c>
      <c r="K25" s="159"/>
      <c r="L25" s="157"/>
      <c r="M25" s="157"/>
      <c r="N25" s="154"/>
      <c r="O25" s="155"/>
      <c r="P25" s="158"/>
      <c r="R25" s="50" t="str">
        <f>IF(V25='Request #23'!V25,"OK","Send in Change Order")</f>
        <v>OK</v>
      </c>
      <c r="S25" s="85">
        <v>14</v>
      </c>
      <c r="T25" s="86" t="str">
        <f>'Request #23'!T25</f>
        <v>Other Contracts</v>
      </c>
      <c r="U25" s="218">
        <f>'Request #23'!U25</f>
        <v>0</v>
      </c>
      <c r="V25" s="87">
        <f>'Request #23'!V25</f>
        <v>0</v>
      </c>
      <c r="W25" s="88">
        <f>SUMIF(F7:F79,14,E7:E79)</f>
        <v>0</v>
      </c>
      <c r="X25" s="88">
        <f>'Request #23'!Y25</f>
        <v>0</v>
      </c>
      <c r="Y25" s="88">
        <f t="shared" si="3"/>
        <v>0</v>
      </c>
      <c r="Z25" s="88">
        <f t="shared" si="4"/>
        <v>0</v>
      </c>
      <c r="AA25" s="88">
        <f>SUMIF(P7:P79,14,O7:O79)</f>
        <v>0</v>
      </c>
      <c r="AB25" s="54" t="str">
        <f>IF(W25&gt;='Request #23'!AA25,"OK","Alert,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0"/>
        <v>20</v>
      </c>
      <c r="H26" s="205" t="str">
        <f t="shared" si="5"/>
        <v>Other Contracts</v>
      </c>
      <c r="I26" s="247">
        <f t="shared" si="5"/>
        <v>0</v>
      </c>
      <c r="K26" s="159"/>
      <c r="L26" s="157"/>
      <c r="M26" s="157"/>
      <c r="N26" s="154"/>
      <c r="O26" s="155"/>
      <c r="P26" s="158"/>
      <c r="R26" s="50" t="str">
        <f>IF(V26='Request #23'!V26,"OK","Send in Change Order")</f>
        <v>OK</v>
      </c>
      <c r="S26" s="85">
        <v>15</v>
      </c>
      <c r="T26" s="86" t="str">
        <f>'Request #23'!T26</f>
        <v>Other Contracts</v>
      </c>
      <c r="U26" s="218">
        <f>'Request #23'!U26</f>
        <v>0</v>
      </c>
      <c r="V26" s="87">
        <f>'Request #23'!V26</f>
        <v>0</v>
      </c>
      <c r="W26" s="88">
        <f>SUMIF(F7:F79,15,E7:E79)</f>
        <v>0</v>
      </c>
      <c r="X26" s="88">
        <f>'Request #23'!Y26</f>
        <v>0</v>
      </c>
      <c r="Y26" s="88">
        <f t="shared" si="3"/>
        <v>0</v>
      </c>
      <c r="Z26" s="88">
        <f t="shared" si="4"/>
        <v>0</v>
      </c>
      <c r="AA26" s="88">
        <f>SUMIF(P7:P79,15,O7:O79)</f>
        <v>0</v>
      </c>
      <c r="AB26" s="54" t="str">
        <f>IF(W26&gt;='Request #23'!AA26,"OK","Alert,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0"/>
        <v>21</v>
      </c>
      <c r="H27" s="205" t="str">
        <f t="shared" si="5"/>
        <v>Other Contracts</v>
      </c>
      <c r="I27" s="247">
        <f t="shared" si="5"/>
        <v>0</v>
      </c>
      <c r="K27" s="159"/>
      <c r="L27" s="157"/>
      <c r="M27" s="157"/>
      <c r="N27" s="154"/>
      <c r="O27" s="155"/>
      <c r="P27" s="158"/>
      <c r="R27" s="50" t="str">
        <f>IF(V27='Request #23'!V27,"OK","Send in Change Order")</f>
        <v>OK</v>
      </c>
      <c r="S27" s="85">
        <v>16</v>
      </c>
      <c r="T27" s="86" t="str">
        <f>'Request #23'!T27</f>
        <v>Other Contracts</v>
      </c>
      <c r="U27" s="218">
        <f>'Request #23'!U27</f>
        <v>0</v>
      </c>
      <c r="V27" s="87">
        <f>'Request #23'!V27</f>
        <v>0</v>
      </c>
      <c r="W27" s="88">
        <f>SUMIF(F7:F79,16,E7:E79)</f>
        <v>0</v>
      </c>
      <c r="X27" s="88">
        <f>'Request #23'!Y27</f>
        <v>0</v>
      </c>
      <c r="Y27" s="88">
        <f t="shared" si="3"/>
        <v>0</v>
      </c>
      <c r="Z27" s="88">
        <f t="shared" si="4"/>
        <v>0</v>
      </c>
      <c r="AA27" s="88">
        <f>SUMIF(P7:P79,16,O7:O79)</f>
        <v>0</v>
      </c>
      <c r="AB27" s="54" t="str">
        <f>IF(W27&gt;='Request #23'!AA27,"OK","Alert,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0"/>
        <v>22</v>
      </c>
      <c r="H28" s="205" t="str">
        <f t="shared" si="5"/>
        <v>Other Contracts</v>
      </c>
      <c r="I28" s="247">
        <f t="shared" si="5"/>
        <v>0</v>
      </c>
      <c r="K28" s="159"/>
      <c r="L28" s="157"/>
      <c r="M28" s="157"/>
      <c r="N28" s="154"/>
      <c r="O28" s="155"/>
      <c r="P28" s="158"/>
      <c r="R28" s="50" t="str">
        <f>IF(V28='Request #23'!V28,"OK","Send in Change Order")</f>
        <v>OK</v>
      </c>
      <c r="S28" s="85">
        <v>17</v>
      </c>
      <c r="T28" s="86" t="str">
        <f>'Request #23'!T28</f>
        <v>Other Contracts</v>
      </c>
      <c r="U28" s="218">
        <f>'Request #23'!U28</f>
        <v>0</v>
      </c>
      <c r="V28" s="87">
        <f>'Request #23'!V28</f>
        <v>0</v>
      </c>
      <c r="W28" s="88">
        <f>SUMIF(F7:F79,17,E7:E79)</f>
        <v>0</v>
      </c>
      <c r="X28" s="88">
        <f>'Request #23'!Y28</f>
        <v>0</v>
      </c>
      <c r="Y28" s="88">
        <f t="shared" si="3"/>
        <v>0</v>
      </c>
      <c r="Z28" s="88">
        <f t="shared" si="4"/>
        <v>0</v>
      </c>
      <c r="AA28" s="88">
        <f>SUMIF(P7:P79,17,O7:O79)</f>
        <v>0</v>
      </c>
      <c r="AB28" s="54" t="str">
        <f>IF(W28&gt;='Request #23'!AA28,"OK","Alert,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0"/>
        <v>23</v>
      </c>
      <c r="H29" s="205" t="str">
        <f t="shared" si="5"/>
        <v>Other Contracts</v>
      </c>
      <c r="I29" s="247">
        <f t="shared" si="5"/>
        <v>0</v>
      </c>
      <c r="K29" s="159"/>
      <c r="L29" s="157"/>
      <c r="M29" s="157"/>
      <c r="N29" s="154"/>
      <c r="O29" s="155"/>
      <c r="P29" s="158"/>
      <c r="R29" s="50" t="str">
        <f>IF(V29='Request #23'!V29,"OK","Send in Change Order")</f>
        <v>OK</v>
      </c>
      <c r="S29" s="85">
        <v>18</v>
      </c>
      <c r="T29" s="86" t="str">
        <f>'Request #23'!T29</f>
        <v>Other Contracts</v>
      </c>
      <c r="U29" s="218">
        <f>'Request #23'!U29</f>
        <v>0</v>
      </c>
      <c r="V29" s="87">
        <f>'Request #23'!V29</f>
        <v>0</v>
      </c>
      <c r="W29" s="88">
        <f>SUMIF(F7:F79,18,E7:E79)</f>
        <v>0</v>
      </c>
      <c r="X29" s="88">
        <f>'Request #23'!Y29</f>
        <v>0</v>
      </c>
      <c r="Y29" s="88">
        <f t="shared" si="3"/>
        <v>0</v>
      </c>
      <c r="Z29" s="88">
        <f t="shared" si="4"/>
        <v>0</v>
      </c>
      <c r="AA29" s="88">
        <f>SUMIF(P7:P79,18,O7:O79)</f>
        <v>0</v>
      </c>
      <c r="AB29" s="54" t="str">
        <f>IF(W29&gt;='Request #23'!AA29,"OK","Alert,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0"/>
        <v>24</v>
      </c>
      <c r="H30" s="205" t="str">
        <f t="shared" si="5"/>
        <v>Other Contracts</v>
      </c>
      <c r="I30" s="247">
        <f t="shared" si="5"/>
        <v>0</v>
      </c>
      <c r="K30" s="159"/>
      <c r="L30" s="157"/>
      <c r="M30" s="157"/>
      <c r="N30" s="154"/>
      <c r="O30" s="155"/>
      <c r="P30" s="158"/>
      <c r="R30" s="50" t="str">
        <f>IF(V30='Request #23'!V30,"OK","Send in Change Order")</f>
        <v>OK</v>
      </c>
      <c r="S30" s="85">
        <v>19</v>
      </c>
      <c r="T30" s="86" t="str">
        <f>'Request #23'!T30</f>
        <v>Other Contracts</v>
      </c>
      <c r="U30" s="218">
        <f>'Request #23'!U30</f>
        <v>0</v>
      </c>
      <c r="V30" s="87">
        <f>'Request #23'!V30</f>
        <v>0</v>
      </c>
      <c r="W30" s="88">
        <f>SUMIF(F7:F79,19,E7:E79)</f>
        <v>0</v>
      </c>
      <c r="X30" s="88">
        <f>'Request #23'!Y30</f>
        <v>0</v>
      </c>
      <c r="Y30" s="88">
        <f t="shared" si="3"/>
        <v>0</v>
      </c>
      <c r="Z30" s="88">
        <f t="shared" si="4"/>
        <v>0</v>
      </c>
      <c r="AA30" s="88">
        <f>SUMIF(P7:P79,19,O7:O79)</f>
        <v>0</v>
      </c>
      <c r="AB30" s="54" t="str">
        <f>IF(W30&gt;='Request #23'!AA30,"OK","Alert,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0"/>
        <v>25</v>
      </c>
      <c r="H31" s="205" t="str">
        <f t="shared" si="5"/>
        <v>Other Contracts</v>
      </c>
      <c r="I31" s="247">
        <f t="shared" si="5"/>
        <v>0</v>
      </c>
      <c r="K31" s="159"/>
      <c r="L31" s="157"/>
      <c r="M31" s="157"/>
      <c r="N31" s="154"/>
      <c r="O31" s="155"/>
      <c r="P31" s="158"/>
      <c r="R31" s="50" t="str">
        <f>IF(V31='Request #23'!V31,"OK","Send in Change Order")</f>
        <v>OK</v>
      </c>
      <c r="S31" s="85">
        <v>20</v>
      </c>
      <c r="T31" s="86" t="str">
        <f>'Request #23'!T31</f>
        <v>Other Contracts</v>
      </c>
      <c r="U31" s="218">
        <f>'Request #23'!U31</f>
        <v>0</v>
      </c>
      <c r="V31" s="87">
        <f>'Request #23'!V31</f>
        <v>0</v>
      </c>
      <c r="W31" s="88">
        <f>SUMIF(F7:F79,20,E7:E79)</f>
        <v>0</v>
      </c>
      <c r="X31" s="88">
        <f>'Request #23'!Y31</f>
        <v>0</v>
      </c>
      <c r="Y31" s="88">
        <f t="shared" si="3"/>
        <v>0</v>
      </c>
      <c r="Z31" s="88">
        <f t="shared" si="4"/>
        <v>0</v>
      </c>
      <c r="AA31" s="88">
        <f>SUMIF(P7:P79,20,O7:O79)</f>
        <v>0</v>
      </c>
      <c r="AB31" s="54" t="str">
        <f>IF(W31&gt;='Request #23'!AA31,"OK","Alert,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0"/>
        <v>26</v>
      </c>
      <c r="H32" s="205" t="str">
        <f t="shared" si="5"/>
        <v>Other Fees</v>
      </c>
      <c r="I32" s="247">
        <f t="shared" si="5"/>
        <v>0</v>
      </c>
      <c r="K32" s="159"/>
      <c r="L32" s="157"/>
      <c r="M32" s="157"/>
      <c r="N32" s="154"/>
      <c r="O32" s="155"/>
      <c r="P32" s="158"/>
      <c r="R32" s="50" t="str">
        <f>IF(V32='Request #23'!V32,"OK","Send in Change Order")</f>
        <v>OK</v>
      </c>
      <c r="S32" s="85">
        <v>21</v>
      </c>
      <c r="T32" s="86" t="str">
        <f>'Request #23'!T32</f>
        <v>Other Contracts</v>
      </c>
      <c r="U32" s="218">
        <f>'Request #23'!U32</f>
        <v>0</v>
      </c>
      <c r="V32" s="87">
        <f>'Request #23'!V32</f>
        <v>0</v>
      </c>
      <c r="W32" s="88">
        <f>SUMIF(F7:F79,21,E7:E79)</f>
        <v>0</v>
      </c>
      <c r="X32" s="88">
        <f>'Request #23'!Y32</f>
        <v>0</v>
      </c>
      <c r="Y32" s="88">
        <f t="shared" si="3"/>
        <v>0</v>
      </c>
      <c r="Z32" s="88">
        <f t="shared" si="4"/>
        <v>0</v>
      </c>
      <c r="AA32" s="88">
        <f>SUMIF(P7:P79,21,O7:O79)</f>
        <v>0</v>
      </c>
      <c r="AB32" s="54" t="str">
        <f>IF(W32&gt;='Request #23'!AA32,"OK","Alert,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0"/>
        <v>27</v>
      </c>
      <c r="H33" s="205" t="str">
        <f t="shared" si="5"/>
        <v>Other Fees</v>
      </c>
      <c r="I33" s="247">
        <f t="shared" si="5"/>
        <v>0</v>
      </c>
      <c r="K33" s="159"/>
      <c r="L33" s="157"/>
      <c r="M33" s="157"/>
      <c r="N33" s="154"/>
      <c r="O33" s="155"/>
      <c r="P33" s="158"/>
      <c r="R33" s="50" t="str">
        <f>IF(V33='Request #23'!V33,"OK","Send in Change Order")</f>
        <v>OK</v>
      </c>
      <c r="S33" s="85">
        <v>22</v>
      </c>
      <c r="T33" s="86" t="str">
        <f>'Request #23'!T33</f>
        <v>Other Contracts</v>
      </c>
      <c r="U33" s="218">
        <f>'Request #23'!U33</f>
        <v>0</v>
      </c>
      <c r="V33" s="87">
        <f>'Request #23'!V33</f>
        <v>0</v>
      </c>
      <c r="W33" s="88">
        <f>SUMIF(F7:F79,22,E7:E79)</f>
        <v>0</v>
      </c>
      <c r="X33" s="88">
        <f>'Request #23'!Y33</f>
        <v>0</v>
      </c>
      <c r="Y33" s="88">
        <f t="shared" si="3"/>
        <v>0</v>
      </c>
      <c r="Z33" s="88">
        <f t="shared" si="4"/>
        <v>0</v>
      </c>
      <c r="AA33" s="88">
        <f>SUMIF(P7:P79,22,O7:O79)</f>
        <v>0</v>
      </c>
      <c r="AB33" s="54" t="str">
        <f>IF(W33&gt;='Request #23'!AA33,"OK","Alert,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0"/>
        <v>28</v>
      </c>
      <c r="H34" s="205" t="str">
        <f t="shared" si="5"/>
        <v>Other Fees</v>
      </c>
      <c r="I34" s="247">
        <f t="shared" si="5"/>
        <v>0</v>
      </c>
      <c r="K34" s="159"/>
      <c r="L34" s="157"/>
      <c r="M34" s="157"/>
      <c r="N34" s="154"/>
      <c r="O34" s="155"/>
      <c r="P34" s="158"/>
      <c r="R34" s="50" t="str">
        <f>IF(V34='Request #23'!V34,"OK","Send in Change Order")</f>
        <v>OK</v>
      </c>
      <c r="S34" s="85">
        <v>23</v>
      </c>
      <c r="T34" s="86" t="str">
        <f>'Request #23'!T34</f>
        <v>Other Contracts</v>
      </c>
      <c r="U34" s="218">
        <f>'Request #23'!U34</f>
        <v>0</v>
      </c>
      <c r="V34" s="87">
        <f>'Request #23'!V34</f>
        <v>0</v>
      </c>
      <c r="W34" s="88">
        <f>SUMIF(F7:F79,23,E7:E79)</f>
        <v>0</v>
      </c>
      <c r="X34" s="88">
        <f>'Request #23'!Y34</f>
        <v>0</v>
      </c>
      <c r="Y34" s="88">
        <f t="shared" si="3"/>
        <v>0</v>
      </c>
      <c r="Z34" s="88">
        <f t="shared" si="4"/>
        <v>0</v>
      </c>
      <c r="AA34" s="88">
        <f>SUMIF(P7:P79,23,O7:O79)</f>
        <v>0</v>
      </c>
      <c r="AB34" s="54" t="str">
        <f>IF(W34&gt;='Request #23'!AA34,"OK","Alert,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0"/>
        <v>29</v>
      </c>
      <c r="H35" s="205" t="str">
        <f t="shared" si="5"/>
        <v>Other Fees</v>
      </c>
      <c r="I35" s="247">
        <f t="shared" si="5"/>
        <v>0</v>
      </c>
      <c r="K35" s="159"/>
      <c r="L35" s="157"/>
      <c r="M35" s="157"/>
      <c r="N35" s="154"/>
      <c r="O35" s="155"/>
      <c r="P35" s="158"/>
      <c r="R35" s="50" t="str">
        <f>IF(V35='Request #23'!V35,"OK","Send in Change Order")</f>
        <v>OK</v>
      </c>
      <c r="S35" s="85">
        <v>24</v>
      </c>
      <c r="T35" s="86" t="str">
        <f>'Request #23'!T35</f>
        <v>Other Contracts</v>
      </c>
      <c r="U35" s="218">
        <f>'Request #23'!U35</f>
        <v>0</v>
      </c>
      <c r="V35" s="87">
        <f>'Request #23'!V35</f>
        <v>0</v>
      </c>
      <c r="W35" s="88">
        <f>SUMIF(F7:F79,24,E7:E79)</f>
        <v>0</v>
      </c>
      <c r="X35" s="88">
        <f>'Request #23'!Y35</f>
        <v>0</v>
      </c>
      <c r="Y35" s="88">
        <f t="shared" si="3"/>
        <v>0</v>
      </c>
      <c r="Z35" s="88">
        <f t="shared" si="4"/>
        <v>0</v>
      </c>
      <c r="AA35" s="88">
        <f>SUMIF(P7:P79,24,O7:O79)</f>
        <v>0</v>
      </c>
      <c r="AB35" s="54" t="str">
        <f>IF(W35&gt;='Request #23'!AA35,"OK","Alert,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0"/>
        <v>30</v>
      </c>
      <c r="H36" s="205" t="str">
        <f t="shared" si="5"/>
        <v>Other Fees</v>
      </c>
      <c r="I36" s="247">
        <f t="shared" si="5"/>
        <v>0</v>
      </c>
      <c r="K36" s="159"/>
      <c r="L36" s="157"/>
      <c r="M36" s="157"/>
      <c r="N36" s="154"/>
      <c r="O36" s="155"/>
      <c r="P36" s="158"/>
      <c r="R36" s="50" t="str">
        <f>IF(V36='Request #23'!V36,"OK","Send in Change Order")</f>
        <v>OK</v>
      </c>
      <c r="S36" s="85">
        <v>25</v>
      </c>
      <c r="T36" s="86" t="str">
        <f>'Request #23'!T36</f>
        <v>Other Contracts</v>
      </c>
      <c r="U36" s="218">
        <f>'Request #23'!U36</f>
        <v>0</v>
      </c>
      <c r="V36" s="87">
        <f>'Request #23'!V36</f>
        <v>0</v>
      </c>
      <c r="W36" s="88">
        <f>SUMIF(F7:F79,25,E7:E79)</f>
        <v>0</v>
      </c>
      <c r="X36" s="88">
        <f>'Request #23'!Y36</f>
        <v>0</v>
      </c>
      <c r="Y36" s="88">
        <f t="shared" si="3"/>
        <v>0</v>
      </c>
      <c r="Z36" s="88">
        <f t="shared" si="4"/>
        <v>0</v>
      </c>
      <c r="AA36" s="88">
        <f>SUMIF(P7:P79,25,O7:O79)</f>
        <v>0</v>
      </c>
      <c r="AB36" s="54" t="str">
        <f>IF(W36&gt;='Request #23'!AA36,"OK","Alert,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0"/>
        <v>31</v>
      </c>
      <c r="H37" s="205" t="str">
        <f t="shared" si="5"/>
        <v>Other Fees</v>
      </c>
      <c r="I37" s="247">
        <f t="shared" si="5"/>
        <v>0</v>
      </c>
      <c r="K37" s="159"/>
      <c r="L37" s="157"/>
      <c r="M37" s="157"/>
      <c r="N37" s="154"/>
      <c r="O37" s="155"/>
      <c r="P37" s="158"/>
      <c r="R37" s="50" t="str">
        <f>IF(V37='Request #23'!V37,"OK","Send in Change Order")</f>
        <v>OK</v>
      </c>
      <c r="S37" s="85">
        <v>26</v>
      </c>
      <c r="T37" s="86" t="str">
        <f>'Request #23'!T37</f>
        <v>Other Fees</v>
      </c>
      <c r="U37" s="218">
        <f>'Request #23'!U37</f>
        <v>0</v>
      </c>
      <c r="V37" s="87">
        <f>'Request #23'!V37</f>
        <v>0</v>
      </c>
      <c r="W37" s="88">
        <f>SUMIF(F7:F79,26,E7:E79)</f>
        <v>0</v>
      </c>
      <c r="X37" s="88">
        <f>'Request #23'!Y37</f>
        <v>0</v>
      </c>
      <c r="Y37" s="88">
        <f t="shared" si="3"/>
        <v>0</v>
      </c>
      <c r="Z37" s="88">
        <f t="shared" si="4"/>
        <v>0</v>
      </c>
      <c r="AA37" s="88">
        <f>SUMIF(P7:P79,26,O7:O79)</f>
        <v>0</v>
      </c>
      <c r="AB37" s="54" t="str">
        <f>IF(W37&gt;='Request #23'!AA37,"OK","Alert,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0"/>
        <v>32</v>
      </c>
      <c r="H38" s="205" t="str">
        <f t="shared" si="5"/>
        <v>Other Fees</v>
      </c>
      <c r="I38" s="247">
        <f t="shared" si="5"/>
        <v>0</v>
      </c>
      <c r="K38" s="159"/>
      <c r="L38" s="157"/>
      <c r="M38" s="157"/>
      <c r="N38" s="154"/>
      <c r="O38" s="155"/>
      <c r="P38" s="158"/>
      <c r="R38" s="50" t="str">
        <f>IF(V38='Request #23'!V38,"OK","Send in Change Order")</f>
        <v>OK</v>
      </c>
      <c r="S38" s="85">
        <v>27</v>
      </c>
      <c r="T38" s="86" t="str">
        <f>'Request #23'!T38</f>
        <v>Other Fees</v>
      </c>
      <c r="U38" s="218">
        <f>'Request #23'!U38</f>
        <v>0</v>
      </c>
      <c r="V38" s="87">
        <f>'Request #23'!V38</f>
        <v>0</v>
      </c>
      <c r="W38" s="88">
        <f>SUMIF(F7:F79,27,E7:E79)</f>
        <v>0</v>
      </c>
      <c r="X38" s="88">
        <f>'Request #23'!Y38</f>
        <v>0</v>
      </c>
      <c r="Y38" s="88">
        <f t="shared" si="3"/>
        <v>0</v>
      </c>
      <c r="Z38" s="88">
        <f t="shared" si="4"/>
        <v>0</v>
      </c>
      <c r="AA38" s="88">
        <f>SUMIF(P7:P79,27,O7:O79)</f>
        <v>0</v>
      </c>
      <c r="AB38" s="54" t="str">
        <f>IF(W38&gt;='Request #23'!AA38,"OK","Alert,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0"/>
        <v>33</v>
      </c>
      <c r="H39" s="205" t="str">
        <f t="shared" si="5"/>
        <v>Other Fees</v>
      </c>
      <c r="I39" s="247">
        <f t="shared" si="5"/>
        <v>0</v>
      </c>
      <c r="K39" s="159"/>
      <c r="L39" s="157"/>
      <c r="M39" s="157"/>
      <c r="N39" s="154"/>
      <c r="O39" s="155"/>
      <c r="P39" s="158"/>
      <c r="R39" s="50" t="str">
        <f>IF(V39='Request #23'!V39,"OK","Send in Change Order")</f>
        <v>OK</v>
      </c>
      <c r="S39" s="85">
        <v>28</v>
      </c>
      <c r="T39" s="86" t="str">
        <f>'Request #23'!T39</f>
        <v>Other Fees</v>
      </c>
      <c r="U39" s="218">
        <f>'Request #23'!U39</f>
        <v>0</v>
      </c>
      <c r="V39" s="87">
        <f>'Request #23'!V39</f>
        <v>0</v>
      </c>
      <c r="W39" s="88">
        <f>SUMIF(F7:F79,28,E7:E79)</f>
        <v>0</v>
      </c>
      <c r="X39" s="88">
        <f>'Request #23'!Y39</f>
        <v>0</v>
      </c>
      <c r="Y39" s="88">
        <f t="shared" si="3"/>
        <v>0</v>
      </c>
      <c r="Z39" s="88">
        <f t="shared" si="4"/>
        <v>0</v>
      </c>
      <c r="AA39" s="88">
        <f>SUMIF(P7:P79,28,O7:O79)</f>
        <v>0</v>
      </c>
      <c r="AB39" s="54" t="str">
        <f>IF(W39&gt;='Request #23'!AA39,"OK","Alert,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ref="G40:H62" si="6">S45</f>
        <v>0</v>
      </c>
      <c r="H40" s="205">
        <f t="shared" si="5"/>
        <v>0</v>
      </c>
      <c r="I40" s="247">
        <f t="shared" si="5"/>
        <v>0</v>
      </c>
      <c r="K40" s="159"/>
      <c r="L40" s="157"/>
      <c r="M40" s="157"/>
      <c r="N40" s="154"/>
      <c r="O40" s="155"/>
      <c r="P40" s="158"/>
      <c r="R40" s="50" t="str">
        <f>IF(V40='Request #23'!V40,"OK","Send in Change Order")</f>
        <v>OK</v>
      </c>
      <c r="S40" s="85">
        <v>29</v>
      </c>
      <c r="T40" s="86" t="str">
        <f>'Request #23'!T40</f>
        <v>Other Fees</v>
      </c>
      <c r="U40" s="218">
        <f>'Request #23'!U40</f>
        <v>0</v>
      </c>
      <c r="V40" s="87">
        <f>'Request #23'!V40</f>
        <v>0</v>
      </c>
      <c r="W40" s="88">
        <f>SUMIF(F7:F79,29,E7:E79)</f>
        <v>0</v>
      </c>
      <c r="X40" s="88">
        <f>'Request #23'!Y40</f>
        <v>0</v>
      </c>
      <c r="Y40" s="88">
        <f t="shared" si="3"/>
        <v>0</v>
      </c>
      <c r="Z40" s="88">
        <f t="shared" si="4"/>
        <v>0</v>
      </c>
      <c r="AA40" s="88">
        <f>SUMIF(P7:P79,29,O7:O79)</f>
        <v>0</v>
      </c>
      <c r="AB40" s="54" t="str">
        <f>IF(W40&gt;='Request #23'!AA40,"OK","Alert,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si="6"/>
        <v>Cost</v>
      </c>
      <c r="H41" s="205">
        <f t="shared" ref="H41:I56" si="7">T46</f>
        <v>0</v>
      </c>
      <c r="I41" s="247">
        <f t="shared" si="7"/>
        <v>0</v>
      </c>
      <c r="K41" s="159"/>
      <c r="L41" s="157"/>
      <c r="M41" s="157"/>
      <c r="N41" s="154"/>
      <c r="O41" s="155"/>
      <c r="P41" s="158"/>
      <c r="R41" s="50" t="str">
        <f>IF(V41='Request #23'!V41,"OK","Send in Change Order")</f>
        <v>OK</v>
      </c>
      <c r="S41" s="85">
        <v>30</v>
      </c>
      <c r="T41" s="86" t="str">
        <f>'Request #23'!T41</f>
        <v>Other Fees</v>
      </c>
      <c r="U41" s="218">
        <f>'Request #23'!U41</f>
        <v>0</v>
      </c>
      <c r="V41" s="87">
        <f>'Request #23'!V41</f>
        <v>0</v>
      </c>
      <c r="W41" s="88">
        <f>SUMIF(F7:F79,30,E7:E79)</f>
        <v>0</v>
      </c>
      <c r="X41" s="88">
        <f>'Request #23'!Y41</f>
        <v>0</v>
      </c>
      <c r="Y41" s="88">
        <f t="shared" si="3"/>
        <v>0</v>
      </c>
      <c r="Z41" s="88">
        <f t="shared" si="4"/>
        <v>0</v>
      </c>
      <c r="AA41" s="88">
        <f>SUMIF(P7:P79,30,O7:O79)</f>
        <v>0</v>
      </c>
      <c r="AB41" s="54" t="str">
        <f>IF(W41&gt;='Request #23'!AA41,"OK","Alert,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6"/>
        <v>Item</v>
      </c>
      <c r="H42" s="205" t="str">
        <f t="shared" si="7"/>
        <v>Account Name</v>
      </c>
      <c r="I42" s="247">
        <f t="shared" si="7"/>
        <v>0</v>
      </c>
      <c r="K42" s="159"/>
      <c r="L42" s="157"/>
      <c r="M42" s="157"/>
      <c r="N42" s="154"/>
      <c r="O42" s="155"/>
      <c r="P42" s="158"/>
      <c r="R42" s="50" t="str">
        <f>IF(V42='Request #23'!V42,"OK","Send in Change Order")</f>
        <v>OK</v>
      </c>
      <c r="S42" s="85">
        <v>31</v>
      </c>
      <c r="T42" s="86" t="str">
        <f>'Request #23'!T42</f>
        <v>Other Fees</v>
      </c>
      <c r="U42" s="218">
        <f>'Request #23'!U42</f>
        <v>0</v>
      </c>
      <c r="V42" s="87">
        <f>'Request #23'!V42</f>
        <v>0</v>
      </c>
      <c r="W42" s="88">
        <f>SUMIF(F7:F79,31,E7:E79)</f>
        <v>0</v>
      </c>
      <c r="X42" s="88">
        <f>'Request #23'!Y42</f>
        <v>0</v>
      </c>
      <c r="Y42" s="88">
        <f t="shared" si="3"/>
        <v>0</v>
      </c>
      <c r="Z42" s="88">
        <f t="shared" si="4"/>
        <v>0</v>
      </c>
      <c r="AA42" s="88">
        <f>SUMIF(P7:P79,31,O7:O79)</f>
        <v>0</v>
      </c>
      <c r="AB42" s="54" t="str">
        <f>IF(W42&gt;='Request #23'!AA42,"OK","Alert,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6"/>
        <v>0</v>
      </c>
      <c r="H43" s="205">
        <f t="shared" si="7"/>
        <v>0</v>
      </c>
      <c r="I43" s="247">
        <f t="shared" si="7"/>
        <v>0</v>
      </c>
      <c r="K43" s="159"/>
      <c r="L43" s="157"/>
      <c r="M43" s="157"/>
      <c r="N43" s="154"/>
      <c r="O43" s="155"/>
      <c r="P43" s="158"/>
      <c r="R43" s="50" t="str">
        <f>IF(V43='Request #23'!V43,"OK","Send in Change Order")</f>
        <v>OK</v>
      </c>
      <c r="S43" s="85">
        <v>32</v>
      </c>
      <c r="T43" s="86" t="str">
        <f>'Request #23'!T43</f>
        <v>Other Fees</v>
      </c>
      <c r="U43" s="218">
        <f>'Request #23'!U43</f>
        <v>0</v>
      </c>
      <c r="V43" s="87">
        <f>'Request #23'!V43</f>
        <v>0</v>
      </c>
      <c r="W43" s="88">
        <f>SUMIF(F7:F79,32,E7:E79)</f>
        <v>0</v>
      </c>
      <c r="X43" s="88">
        <f>'Request #23'!Y43</f>
        <v>0</v>
      </c>
      <c r="Y43" s="88">
        <f t="shared" si="3"/>
        <v>0</v>
      </c>
      <c r="Z43" s="88">
        <f t="shared" si="4"/>
        <v>0</v>
      </c>
      <c r="AA43" s="88">
        <f>SUMIF(P7:P79,32,O7:O79)</f>
        <v>0</v>
      </c>
      <c r="AB43" s="54" t="str">
        <f>IF(W43&gt;='Request #23'!AA43,"OK","Alert,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6"/>
        <v>38</v>
      </c>
      <c r="H44" s="205" t="str">
        <f t="shared" si="7"/>
        <v>Other Fees</v>
      </c>
      <c r="I44" s="247">
        <f t="shared" si="7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#23'!V44,"OK","Send in Change Order")</f>
        <v>OK</v>
      </c>
      <c r="S44" s="85">
        <v>33</v>
      </c>
      <c r="T44" s="86" t="str">
        <f>'Request #23'!T44</f>
        <v>Other Fees</v>
      </c>
      <c r="U44" s="218">
        <f>'Request #23'!U44</f>
        <v>0</v>
      </c>
      <c r="V44" s="87">
        <f>'Request #23'!V44</f>
        <v>0</v>
      </c>
      <c r="W44" s="88">
        <f>SUMIF(F7:F79,33,E7:E79)</f>
        <v>0</v>
      </c>
      <c r="X44" s="88">
        <f>'Request #23'!Y44</f>
        <v>0</v>
      </c>
      <c r="Y44" s="88">
        <f t="shared" si="3"/>
        <v>0</v>
      </c>
      <c r="Z44" s="88">
        <f t="shared" si="4"/>
        <v>0</v>
      </c>
      <c r="AA44" s="88">
        <f>SUMIF(P7:P79,33,O7:O79)</f>
        <v>0</v>
      </c>
      <c r="AB44" s="54" t="str">
        <f>IF(W44&gt;='Request #23'!AA44,"OK","Alert,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6"/>
        <v>39</v>
      </c>
      <c r="H45" s="205" t="str">
        <f t="shared" si="6"/>
        <v>Other Fees</v>
      </c>
      <c r="I45" s="247">
        <f t="shared" si="7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6"/>
        <v>40</v>
      </c>
      <c r="H46" s="205" t="str">
        <f t="shared" si="6"/>
        <v>Other Fees</v>
      </c>
      <c r="I46" s="247">
        <f t="shared" si="7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6"/>
        <v>41</v>
      </c>
      <c r="H47" s="205" t="str">
        <f t="shared" si="7"/>
        <v>Other Fees</v>
      </c>
      <c r="I47" s="247">
        <f t="shared" si="7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6"/>
        <v>42</v>
      </c>
      <c r="H48" s="205" t="str">
        <f t="shared" si="7"/>
        <v>Other Fees</v>
      </c>
      <c r="I48" s="247">
        <f t="shared" si="7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6"/>
        <v>43</v>
      </c>
      <c r="H49" s="205" t="str">
        <f t="shared" si="7"/>
        <v>Other Fees</v>
      </c>
      <c r="I49" s="247">
        <f t="shared" si="7"/>
        <v>0</v>
      </c>
      <c r="K49" s="159"/>
      <c r="L49" s="157"/>
      <c r="M49" s="157"/>
      <c r="N49" s="154"/>
      <c r="O49" s="155"/>
      <c r="P49" s="158"/>
      <c r="R49" s="50" t="str">
        <f>IF(V49='Request #23'!V49,"OK","Send in Change Order")</f>
        <v>OK</v>
      </c>
      <c r="S49" s="85">
        <v>38</v>
      </c>
      <c r="T49" s="86" t="str">
        <f>'Request #23'!T49</f>
        <v>Other Fees</v>
      </c>
      <c r="U49" s="218">
        <f>'Request #23'!U49</f>
        <v>0</v>
      </c>
      <c r="V49" s="87">
        <f>'Request #23'!V49</f>
        <v>0</v>
      </c>
      <c r="W49" s="88">
        <f>SUMIF(F7:F79,38,E7:E79)</f>
        <v>0</v>
      </c>
      <c r="X49" s="88">
        <f>'Request #23'!Y49</f>
        <v>0</v>
      </c>
      <c r="Y49" s="88">
        <f t="shared" si="3"/>
        <v>0</v>
      </c>
      <c r="Z49" s="88">
        <f t="shared" si="4"/>
        <v>0</v>
      </c>
      <c r="AA49" s="88">
        <f>SUMIF(P7:P79,38,O7:O79)</f>
        <v>0</v>
      </c>
      <c r="AB49" s="54" t="str">
        <f>IF(W49&gt;='Request #23'!AA49,"OK","Alert,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6"/>
        <v>44</v>
      </c>
      <c r="H50" s="205" t="str">
        <f t="shared" si="7"/>
        <v>Other Fees</v>
      </c>
      <c r="I50" s="247">
        <f t="shared" si="7"/>
        <v>0</v>
      </c>
      <c r="K50" s="159"/>
      <c r="L50" s="157"/>
      <c r="M50" s="157"/>
      <c r="N50" s="154"/>
      <c r="O50" s="155"/>
      <c r="P50" s="158"/>
      <c r="R50" s="50" t="str">
        <f>IF(V50='Request #23'!V50,"OK","Send in Change Order")</f>
        <v>OK</v>
      </c>
      <c r="S50" s="85">
        <v>39</v>
      </c>
      <c r="T50" s="86" t="str">
        <f>'Request #23'!T50</f>
        <v>Other Fees</v>
      </c>
      <c r="U50" s="218">
        <f>'Request #23'!U50</f>
        <v>0</v>
      </c>
      <c r="V50" s="87">
        <f>'Request #23'!V50</f>
        <v>0</v>
      </c>
      <c r="W50" s="88">
        <f>SUMIF(F7:F79,39,E7:E79)</f>
        <v>0</v>
      </c>
      <c r="X50" s="88">
        <f>'Request #23'!Y50</f>
        <v>0</v>
      </c>
      <c r="Y50" s="88">
        <f t="shared" si="3"/>
        <v>0</v>
      </c>
      <c r="Z50" s="88">
        <f t="shared" si="4"/>
        <v>0</v>
      </c>
      <c r="AA50" s="88">
        <f>SUMIF(P7:P79,39,O7:O79)</f>
        <v>0</v>
      </c>
      <c r="AB50" s="54" t="str">
        <f>IF(W50&gt;='Request #23'!AA50,"OK","Alert,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6"/>
        <v>45</v>
      </c>
      <c r="H51" s="205" t="str">
        <f t="shared" si="7"/>
        <v>Other Fees</v>
      </c>
      <c r="I51" s="247">
        <f t="shared" si="7"/>
        <v>0</v>
      </c>
      <c r="K51" s="159"/>
      <c r="L51" s="157"/>
      <c r="M51" s="157"/>
      <c r="N51" s="154"/>
      <c r="O51" s="155"/>
      <c r="P51" s="158"/>
      <c r="R51" s="50" t="str">
        <f>IF(V51='Request #23'!V51,"OK","Send in Change Order")</f>
        <v>OK</v>
      </c>
      <c r="S51" s="85">
        <v>40</v>
      </c>
      <c r="T51" s="86" t="str">
        <f>'Request #23'!T51</f>
        <v>Other Fees</v>
      </c>
      <c r="U51" s="218">
        <f>'Request #23'!U51</f>
        <v>0</v>
      </c>
      <c r="V51" s="87">
        <f>'Request #23'!V51</f>
        <v>0</v>
      </c>
      <c r="W51" s="88">
        <f>SUMIF(F7:F79,40,E7:E79)</f>
        <v>0</v>
      </c>
      <c r="X51" s="88">
        <f>'Request #23'!Y51</f>
        <v>0</v>
      </c>
      <c r="Y51" s="88">
        <f t="shared" si="3"/>
        <v>0</v>
      </c>
      <c r="Z51" s="88">
        <f t="shared" si="4"/>
        <v>0</v>
      </c>
      <c r="AA51" s="88">
        <f>SUMIF(P7:P79,40,O7:O79)</f>
        <v>0</v>
      </c>
      <c r="AB51" s="54" t="str">
        <f>IF(W51&gt;='Request #23'!AA51,"OK","Alert,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6"/>
        <v>46</v>
      </c>
      <c r="H52" s="205" t="str">
        <f t="shared" si="7"/>
        <v>Other Fees</v>
      </c>
      <c r="I52" s="247">
        <f t="shared" si="7"/>
        <v>0</v>
      </c>
      <c r="K52" s="159"/>
      <c r="L52" s="157"/>
      <c r="M52" s="157"/>
      <c r="N52" s="154"/>
      <c r="O52" s="155"/>
      <c r="P52" s="158"/>
      <c r="R52" s="50" t="str">
        <f>IF(V52='Request #23'!V52,"OK","Send in Change Order")</f>
        <v>OK</v>
      </c>
      <c r="S52" s="85">
        <v>41</v>
      </c>
      <c r="T52" s="86" t="str">
        <f>'Request #23'!T52</f>
        <v>Other Fees</v>
      </c>
      <c r="U52" s="218">
        <f>'Request #23'!U52</f>
        <v>0</v>
      </c>
      <c r="V52" s="87">
        <f>'Request #23'!V52</f>
        <v>0</v>
      </c>
      <c r="W52" s="88">
        <f>SUMIF(F7:F79,41,E7:E79)</f>
        <v>0</v>
      </c>
      <c r="X52" s="88">
        <f>'Request #23'!Y52</f>
        <v>0</v>
      </c>
      <c r="Y52" s="88">
        <f t="shared" si="3"/>
        <v>0</v>
      </c>
      <c r="Z52" s="88">
        <f t="shared" si="4"/>
        <v>0</v>
      </c>
      <c r="AA52" s="88">
        <f>SUMIF(P7:P79,41,O7:O79)</f>
        <v>0</v>
      </c>
      <c r="AB52" s="54" t="str">
        <f>IF(W52&gt;='Request #23'!AA52,"OK","Alert,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6"/>
        <v>47</v>
      </c>
      <c r="H53" s="205" t="str">
        <f t="shared" si="7"/>
        <v>Other Fees</v>
      </c>
      <c r="I53" s="247">
        <f t="shared" si="7"/>
        <v>0</v>
      </c>
      <c r="K53" s="159"/>
      <c r="L53" s="157"/>
      <c r="M53" s="157"/>
      <c r="N53" s="154"/>
      <c r="O53" s="155"/>
      <c r="P53" s="158"/>
      <c r="R53" s="50" t="str">
        <f>IF(V53='Request #23'!V53,"OK","Send in Change Order")</f>
        <v>OK</v>
      </c>
      <c r="S53" s="85">
        <v>42</v>
      </c>
      <c r="T53" s="86" t="str">
        <f>'Request #23'!T53</f>
        <v>Other Fees</v>
      </c>
      <c r="U53" s="218">
        <f>'Request #23'!U53</f>
        <v>0</v>
      </c>
      <c r="V53" s="87">
        <f>'Request #23'!V53</f>
        <v>0</v>
      </c>
      <c r="W53" s="88">
        <f>SUMIF(F7:F79,42,E7:E79)</f>
        <v>0</v>
      </c>
      <c r="X53" s="88">
        <f>'Request #23'!Y53</f>
        <v>0</v>
      </c>
      <c r="Y53" s="88">
        <f t="shared" si="3"/>
        <v>0</v>
      </c>
      <c r="Z53" s="88">
        <f t="shared" si="4"/>
        <v>0</v>
      </c>
      <c r="AA53" s="88">
        <f>SUMIF(P7:P79,42,O7:O79)</f>
        <v>0</v>
      </c>
      <c r="AB53" s="54" t="str">
        <f>IF(W53&gt;='Request #23'!AA53,"OK","Alert,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6"/>
        <v>48</v>
      </c>
      <c r="H54" s="205" t="str">
        <f t="shared" si="7"/>
        <v>Other Fees</v>
      </c>
      <c r="I54" s="247">
        <f t="shared" si="7"/>
        <v>0</v>
      </c>
      <c r="K54" s="159"/>
      <c r="L54" s="157"/>
      <c r="M54" s="157"/>
      <c r="N54" s="154"/>
      <c r="O54" s="155"/>
      <c r="P54" s="158"/>
      <c r="R54" s="50" t="str">
        <f>IF(V54='Request #23'!V54,"OK","Send in Change Order")</f>
        <v>OK</v>
      </c>
      <c r="S54" s="85">
        <v>43</v>
      </c>
      <c r="T54" s="86" t="str">
        <f>'Request #23'!T54</f>
        <v>Other Fees</v>
      </c>
      <c r="U54" s="218">
        <f>'Request #23'!U54</f>
        <v>0</v>
      </c>
      <c r="V54" s="87">
        <f>'Request #23'!V54</f>
        <v>0</v>
      </c>
      <c r="W54" s="88">
        <f>SUMIF(F7:F79,43,E7:E79)</f>
        <v>0</v>
      </c>
      <c r="X54" s="88">
        <f>'Request #23'!Y54</f>
        <v>0</v>
      </c>
      <c r="Y54" s="88">
        <f t="shared" si="3"/>
        <v>0</v>
      </c>
      <c r="Z54" s="88">
        <f t="shared" si="4"/>
        <v>0</v>
      </c>
      <c r="AA54" s="88">
        <f>SUMIF(P7:P79,43,O7:O79)</f>
        <v>0</v>
      </c>
      <c r="AB54" s="54" t="str">
        <f>IF(W54&gt;='Request #23'!AA54,"OK","Alert,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6"/>
        <v>49</v>
      </c>
      <c r="H55" s="205" t="str">
        <f t="shared" si="7"/>
        <v>Other Fees</v>
      </c>
      <c r="I55" s="247">
        <f t="shared" si="7"/>
        <v>0</v>
      </c>
      <c r="K55" s="159"/>
      <c r="L55" s="157"/>
      <c r="M55" s="157"/>
      <c r="N55" s="154"/>
      <c r="O55" s="155"/>
      <c r="P55" s="158"/>
      <c r="R55" s="50" t="str">
        <f>IF(V55='Request #23'!V55,"OK","Send in Change Order")</f>
        <v>OK</v>
      </c>
      <c r="S55" s="85">
        <v>44</v>
      </c>
      <c r="T55" s="86" t="str">
        <f>'Request #23'!T55</f>
        <v>Other Fees</v>
      </c>
      <c r="U55" s="218">
        <f>'Request #23'!U55</f>
        <v>0</v>
      </c>
      <c r="V55" s="87">
        <f>'Request #23'!V55</f>
        <v>0</v>
      </c>
      <c r="W55" s="88">
        <f>SUMIF(F7:F79,44,E7:E79)</f>
        <v>0</v>
      </c>
      <c r="X55" s="88">
        <f>'Request #23'!Y55</f>
        <v>0</v>
      </c>
      <c r="Y55" s="88">
        <f t="shared" si="3"/>
        <v>0</v>
      </c>
      <c r="Z55" s="88">
        <f t="shared" si="4"/>
        <v>0</v>
      </c>
      <c r="AA55" s="88">
        <f>SUMIF(P7:P79,44,O7:O79)</f>
        <v>0</v>
      </c>
      <c r="AB55" s="54" t="str">
        <f>IF(W55&gt;='Request #23'!AA55,"OK","Alert,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6"/>
        <v>50</v>
      </c>
      <c r="H56" s="205" t="str">
        <f t="shared" si="7"/>
        <v>Other Fees</v>
      </c>
      <c r="I56" s="247">
        <f t="shared" si="7"/>
        <v>0</v>
      </c>
      <c r="K56" s="159"/>
      <c r="L56" s="157"/>
      <c r="M56" s="157"/>
      <c r="N56" s="154"/>
      <c r="O56" s="155"/>
      <c r="P56" s="158"/>
      <c r="R56" s="50" t="str">
        <f>IF(V56='Request #23'!V56,"OK","Send in Change Order")</f>
        <v>OK</v>
      </c>
      <c r="S56" s="85">
        <v>45</v>
      </c>
      <c r="T56" s="86" t="str">
        <f>'Request #23'!T56</f>
        <v>Other Fees</v>
      </c>
      <c r="U56" s="218">
        <f>'Request #23'!U56</f>
        <v>0</v>
      </c>
      <c r="V56" s="87">
        <f>'Request #23'!V56</f>
        <v>0</v>
      </c>
      <c r="W56" s="88">
        <f>SUMIF(F7:F79,45,E7:E79)</f>
        <v>0</v>
      </c>
      <c r="X56" s="88">
        <f>'Request #23'!Y56</f>
        <v>0</v>
      </c>
      <c r="Y56" s="88">
        <f t="shared" si="3"/>
        <v>0</v>
      </c>
      <c r="Z56" s="88">
        <f t="shared" si="4"/>
        <v>0</v>
      </c>
      <c r="AA56" s="88">
        <f>SUMIF(P7:P79,45,O7:O79)</f>
        <v>0</v>
      </c>
      <c r="AB56" s="54" t="str">
        <f>IF(W56&gt;='Request #23'!AA56,"OK","Alert,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si="6"/>
        <v>51</v>
      </c>
      <c r="H57" s="205" t="str">
        <f t="shared" ref="H57:I62" si="8">T62</f>
        <v>Other Fees</v>
      </c>
      <c r="I57" s="247">
        <f t="shared" si="8"/>
        <v>0</v>
      </c>
      <c r="K57" s="159"/>
      <c r="L57" s="157"/>
      <c r="M57" s="157"/>
      <c r="N57" s="154"/>
      <c r="O57" s="155"/>
      <c r="P57" s="158"/>
      <c r="R57" s="50" t="str">
        <f>IF(V57='Request #23'!V57,"OK","Send in Change Order")</f>
        <v>OK</v>
      </c>
      <c r="S57" s="85">
        <v>46</v>
      </c>
      <c r="T57" s="86" t="str">
        <f>'Request #23'!T57</f>
        <v>Other Fees</v>
      </c>
      <c r="U57" s="218">
        <f>'Request #23'!U57</f>
        <v>0</v>
      </c>
      <c r="V57" s="87">
        <f>'Request #23'!V57</f>
        <v>0</v>
      </c>
      <c r="W57" s="88">
        <f>SUMIF(F7:F79,46,E7:E79)</f>
        <v>0</v>
      </c>
      <c r="X57" s="88">
        <f>'Request #23'!Y57</f>
        <v>0</v>
      </c>
      <c r="Y57" s="88">
        <f t="shared" si="3"/>
        <v>0</v>
      </c>
      <c r="Z57" s="88">
        <f t="shared" si="4"/>
        <v>0</v>
      </c>
      <c r="AA57" s="88">
        <f>SUMIF(P7:P79,46,O7:O79)</f>
        <v>0</v>
      </c>
      <c r="AB57" s="54" t="str">
        <f>IF(W57&gt;='Request #23'!AA57,"OK","Alert,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8"/>
        <v>Worked Performed by Owner</v>
      </c>
      <c r="I58" s="247">
        <f t="shared" si="8"/>
        <v>0</v>
      </c>
      <c r="K58" s="159"/>
      <c r="L58" s="157"/>
      <c r="M58" s="157"/>
      <c r="N58" s="154"/>
      <c r="O58" s="155"/>
      <c r="P58" s="158"/>
      <c r="R58" s="50" t="str">
        <f>IF(V58='Request #23'!V58,"OK","Send in Change Order")</f>
        <v>OK</v>
      </c>
      <c r="S58" s="85">
        <v>47</v>
      </c>
      <c r="T58" s="86" t="str">
        <f>'Request #23'!T58</f>
        <v>Other Fees</v>
      </c>
      <c r="U58" s="218">
        <f>'Request #23'!U58</f>
        <v>0</v>
      </c>
      <c r="V58" s="87">
        <f>'Request #23'!V58</f>
        <v>0</v>
      </c>
      <c r="W58" s="88">
        <f>SUMIF(F7:F79,47,E7:E79)</f>
        <v>0</v>
      </c>
      <c r="X58" s="88">
        <f>'Request #23'!Y58</f>
        <v>0</v>
      </c>
      <c r="Y58" s="88">
        <f t="shared" si="3"/>
        <v>0</v>
      </c>
      <c r="Z58" s="88">
        <f t="shared" si="4"/>
        <v>0</v>
      </c>
      <c r="AA58" s="88">
        <f>SUMIF(P7:P79,47,O7:O79)</f>
        <v>0</v>
      </c>
      <c r="AB58" s="54" t="str">
        <f>IF(W58&gt;='Request #23'!AA58,"OK","Alert,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8"/>
        <v>Equipment (Major)</v>
      </c>
      <c r="I59" s="247">
        <f t="shared" si="8"/>
        <v>0</v>
      </c>
      <c r="K59" s="159"/>
      <c r="L59" s="157"/>
      <c r="M59" s="157"/>
      <c r="N59" s="154"/>
      <c r="O59" s="155"/>
      <c r="P59" s="158"/>
      <c r="R59" s="50" t="str">
        <f>IF(V59='Request #23'!V59,"OK","Send in Change Order")</f>
        <v>OK</v>
      </c>
      <c r="S59" s="85">
        <v>48</v>
      </c>
      <c r="T59" s="86" t="str">
        <f>'Request #23'!T59</f>
        <v>Other Fees</v>
      </c>
      <c r="U59" s="218">
        <f>'Request #23'!U59</f>
        <v>0</v>
      </c>
      <c r="V59" s="87">
        <f>'Request #23'!V59</f>
        <v>0</v>
      </c>
      <c r="W59" s="88">
        <f>SUMIF(F7:F79,48,E7:E79)</f>
        <v>0</v>
      </c>
      <c r="X59" s="88">
        <f>'Request #23'!Y59</f>
        <v>0</v>
      </c>
      <c r="Y59" s="88">
        <f t="shared" si="3"/>
        <v>0</v>
      </c>
      <c r="Z59" s="88">
        <f t="shared" si="4"/>
        <v>0</v>
      </c>
      <c r="AA59" s="88">
        <f>SUMIF(P7:P79,48,O7:O79)</f>
        <v>0</v>
      </c>
      <c r="AB59" s="54" t="str">
        <f>IF(W59&gt;='Request #23'!AA59,"OK","Alert,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8"/>
        <v>Contingency Fund</v>
      </c>
      <c r="I60" s="247">
        <f t="shared" si="8"/>
        <v>0</v>
      </c>
      <c r="K60" s="159"/>
      <c r="L60" s="157"/>
      <c r="M60" s="157"/>
      <c r="N60" s="154"/>
      <c r="O60" s="155"/>
      <c r="P60" s="158"/>
      <c r="R60" s="50" t="str">
        <f>IF(V60='Request #23'!V60,"OK","Send in Change Order")</f>
        <v>OK</v>
      </c>
      <c r="S60" s="85">
        <v>49</v>
      </c>
      <c r="T60" s="86" t="str">
        <f>'Request #23'!T60</f>
        <v>Other Fees</v>
      </c>
      <c r="U60" s="218">
        <f>'Request #23'!U60</f>
        <v>0</v>
      </c>
      <c r="V60" s="87">
        <f>'Request #23'!V60</f>
        <v>0</v>
      </c>
      <c r="W60" s="88">
        <f>SUMIF(F7:F79,49,E7:E79)</f>
        <v>0</v>
      </c>
      <c r="X60" s="88">
        <f>'Request #23'!Y60</f>
        <v>0</v>
      </c>
      <c r="Y60" s="88">
        <f t="shared" si="3"/>
        <v>0</v>
      </c>
      <c r="Z60" s="88">
        <f t="shared" si="4"/>
        <v>0</v>
      </c>
      <c r="AA60" s="88">
        <f>SUMIF(P7:P79,49,O7:O79)</f>
        <v>0</v>
      </c>
      <c r="AB60" s="54" t="str">
        <f>IF(W60&gt;='Request #23'!AA60,"OK","Alert,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8"/>
        <v>0</v>
      </c>
      <c r="I61" s="247">
        <f t="shared" si="8"/>
        <v>0</v>
      </c>
      <c r="K61" s="159"/>
      <c r="L61" s="157"/>
      <c r="M61" s="157"/>
      <c r="N61" s="154"/>
      <c r="O61" s="155"/>
      <c r="P61" s="158"/>
      <c r="R61" s="50" t="str">
        <f>IF(V61='Request #23'!V61,"OK","Send in Change Order")</f>
        <v>OK</v>
      </c>
      <c r="S61" s="85">
        <v>50</v>
      </c>
      <c r="T61" s="86" t="str">
        <f>'Request #23'!T61</f>
        <v>Other Fees</v>
      </c>
      <c r="U61" s="218">
        <f>'Request #23'!U61</f>
        <v>0</v>
      </c>
      <c r="V61" s="87">
        <f>'Request #23'!V61</f>
        <v>0</v>
      </c>
      <c r="W61" s="88">
        <f>SUMIF(F7:F79,50,E7:E79)</f>
        <v>0</v>
      </c>
      <c r="X61" s="88">
        <f>'Request #23'!Y61</f>
        <v>0</v>
      </c>
      <c r="Y61" s="88">
        <f t="shared" si="3"/>
        <v>0</v>
      </c>
      <c r="Z61" s="88">
        <f t="shared" si="4"/>
        <v>0</v>
      </c>
      <c r="AA61" s="88">
        <f>SUMIF(P7:P79,50,O7:O79)</f>
        <v>0</v>
      </c>
      <c r="AB61" s="54" t="str">
        <f>IF(W61&gt;='Request #23'!AA61,"OK","Alert,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8"/>
        <v>0</v>
      </c>
      <c r="I62" s="247">
        <f t="shared" si="8"/>
        <v>0</v>
      </c>
      <c r="K62" s="159"/>
      <c r="L62" s="157"/>
      <c r="M62" s="157"/>
      <c r="N62" s="154"/>
      <c r="O62" s="155"/>
      <c r="P62" s="158"/>
      <c r="R62" s="50" t="str">
        <f>IF(V62='Request #23'!V62,"OK","Send in Change Order")</f>
        <v>OK</v>
      </c>
      <c r="S62" s="85">
        <v>51</v>
      </c>
      <c r="T62" s="86" t="str">
        <f>'Request #23'!T62</f>
        <v>Other Fees</v>
      </c>
      <c r="U62" s="218">
        <f>'Request #23'!U62</f>
        <v>0</v>
      </c>
      <c r="V62" s="87">
        <f>'Request #23'!V62</f>
        <v>0</v>
      </c>
      <c r="W62" s="88">
        <f>SUMIF(F7:F79,51,E7:E79)</f>
        <v>0</v>
      </c>
      <c r="X62" s="88">
        <f>'Request #23'!Y62</f>
        <v>0</v>
      </c>
      <c r="Y62" s="88">
        <f t="shared" si="3"/>
        <v>0</v>
      </c>
      <c r="Z62" s="88">
        <f t="shared" si="4"/>
        <v>0</v>
      </c>
      <c r="AA62" s="88">
        <f>SUMIF(P7:P79,51,O7:O79)</f>
        <v>0</v>
      </c>
      <c r="AB62" s="54" t="str">
        <f>IF(W62&gt;='Request #23'!AA62,"OK","Alert,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#23'!V63,"OK","Send in Change Order")</f>
        <v>OK</v>
      </c>
      <c r="S63" s="85">
        <v>52</v>
      </c>
      <c r="T63" s="86" t="str">
        <f>'Request #23'!T63</f>
        <v>Worked Performed by Owner</v>
      </c>
      <c r="U63" s="218">
        <f>'Request #23'!U63</f>
        <v>0</v>
      </c>
      <c r="V63" s="87">
        <f>'Request #23'!V63</f>
        <v>0</v>
      </c>
      <c r="W63" s="88">
        <f>SUMIF(F7:F79,52,E7:E79)</f>
        <v>0</v>
      </c>
      <c r="X63" s="88">
        <f>'Request #23'!Y63</f>
        <v>0</v>
      </c>
      <c r="Y63" s="88">
        <f t="shared" si="3"/>
        <v>0</v>
      </c>
      <c r="Z63" s="88">
        <f t="shared" si="4"/>
        <v>0</v>
      </c>
      <c r="AA63" s="88">
        <f>SUMIF(P7:P79,52,O7:O79)</f>
        <v>0</v>
      </c>
      <c r="AB63" s="54" t="str">
        <f>IF(W63&gt;='Request #23'!AA63,"OK","Alert,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#23'!V64,"OK","Send in Change Order")</f>
        <v>OK</v>
      </c>
      <c r="S64" s="85">
        <v>53</v>
      </c>
      <c r="T64" s="86" t="str">
        <f>'Request #23'!T64</f>
        <v>Equipment (Major)</v>
      </c>
      <c r="U64" s="218">
        <f>'Request #23'!U64</f>
        <v>0</v>
      </c>
      <c r="V64" s="87">
        <f>'Request #23'!V64</f>
        <v>0</v>
      </c>
      <c r="W64" s="88">
        <f>SUMIF(F7:F79,53,E7:E79)</f>
        <v>0</v>
      </c>
      <c r="X64" s="88">
        <f>'Request #23'!Y64</f>
        <v>0</v>
      </c>
      <c r="Y64" s="88">
        <f t="shared" si="3"/>
        <v>0</v>
      </c>
      <c r="Z64" s="88">
        <f t="shared" si="4"/>
        <v>0</v>
      </c>
      <c r="AA64" s="88">
        <f>SUMIF(P7:P79,53,O7:O79)</f>
        <v>0</v>
      </c>
      <c r="AB64" s="54" t="str">
        <f>IF(W64&gt;='Request #23'!AA64,"OK","Alert,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#23'!V65,"OK","Send in Change Order")</f>
        <v>OK</v>
      </c>
      <c r="S65" s="85">
        <v>54</v>
      </c>
      <c r="T65" s="102" t="s">
        <v>90</v>
      </c>
      <c r="U65" s="218">
        <f>'Request #23'!U65</f>
        <v>0</v>
      </c>
      <c r="V65" s="87">
        <f>'Request #23'!V65</f>
        <v>0</v>
      </c>
      <c r="W65" s="104"/>
      <c r="X65" s="88">
        <f>'Request #23'!Y65</f>
        <v>0</v>
      </c>
      <c r="Y65" s="88">
        <f t="shared" si="3"/>
        <v>0</v>
      </c>
      <c r="Z65" s="88">
        <f t="shared" si="4"/>
        <v>0</v>
      </c>
      <c r="AA65" s="104"/>
      <c r="AB65" s="54" t="str">
        <f>IF(W65&gt;='Request #23'!AA65,"OK","Alert,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#23'!V66,"OK","Send in Change Order")</f>
        <v>OK</v>
      </c>
      <c r="S66" s="85">
        <v>55</v>
      </c>
      <c r="T66" s="86"/>
      <c r="U66" s="218">
        <f>'Request #23'!U66</f>
        <v>0</v>
      </c>
      <c r="V66" s="87">
        <f>'Request #23'!V66</f>
        <v>0</v>
      </c>
      <c r="W66" s="88">
        <f>SUMIF(F7:F79,55,E7:E79)</f>
        <v>0</v>
      </c>
      <c r="X66" s="88">
        <f>'Request #23'!Y66</f>
        <v>0</v>
      </c>
      <c r="Y66" s="88">
        <f t="shared" si="3"/>
        <v>0</v>
      </c>
      <c r="Z66" s="88">
        <f t="shared" si="4"/>
        <v>0</v>
      </c>
      <c r="AA66" s="88">
        <f>SUMIF(P7:P79,55,O7:O79)</f>
        <v>0</v>
      </c>
      <c r="AB66" s="54" t="str">
        <f>IF(W66&gt;='Request #23'!AA66,"OK","Alert,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#23'!V67,"OK","Send in Change Order")</f>
        <v>OK</v>
      </c>
      <c r="S67" s="85">
        <v>56</v>
      </c>
      <c r="T67" s="79"/>
      <c r="U67" s="218">
        <f>'Request #23'!U67</f>
        <v>0</v>
      </c>
      <c r="V67" s="87">
        <f>'Request #23'!V67</f>
        <v>0</v>
      </c>
      <c r="W67" s="88">
        <f>SUMIF(F7:F79,56,E7:E79)</f>
        <v>0</v>
      </c>
      <c r="X67" s="88">
        <f>'Request #23'!Y67</f>
        <v>0</v>
      </c>
      <c r="Y67" s="88">
        <f t="shared" si="3"/>
        <v>0</v>
      </c>
      <c r="Z67" s="88">
        <f t="shared" si="4"/>
        <v>0</v>
      </c>
      <c r="AA67" s="88">
        <f>SUMIF(P7:P79,56,O7:O79)</f>
        <v>0</v>
      </c>
      <c r="AB67" s="54" t="str">
        <f>IF(W67&gt;='Request #23'!AA67,"OK","Alert,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#23'!V68,"OK","Send in Change Order")</f>
        <v>OK</v>
      </c>
      <c r="S68" s="316" t="s">
        <v>60</v>
      </c>
      <c r="T68" s="317"/>
      <c r="U68" s="224" t="s">
        <v>91</v>
      </c>
      <c r="V68" s="263">
        <f t="shared" ref="V68:AA68" si="9">SUM(V12:V67)</f>
        <v>0</v>
      </c>
      <c r="W68" s="105">
        <f t="shared" si="9"/>
        <v>0</v>
      </c>
      <c r="X68" s="105">
        <f t="shared" si="9"/>
        <v>0</v>
      </c>
      <c r="Y68" s="105">
        <f t="shared" si="9"/>
        <v>0</v>
      </c>
      <c r="Z68" s="105">
        <f t="shared" si="9"/>
        <v>0</v>
      </c>
      <c r="AA68" s="105">
        <f t="shared" si="9"/>
        <v>0</v>
      </c>
      <c r="AB68" s="54" t="str">
        <f>IF(W68&gt;='Request #23'!AA68,"OK","Alert,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25"/>
      <c r="V69" s="109"/>
      <c r="W69" s="109"/>
      <c r="X69" s="109"/>
      <c r="Y69" s="109"/>
      <c r="Z69" s="109"/>
      <c r="AA69" s="109"/>
      <c r="AB69" s="184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226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85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27" t="s">
        <v>93</v>
      </c>
      <c r="V71" s="115"/>
      <c r="W71" s="116"/>
      <c r="X71" s="116"/>
      <c r="Y71" s="116"/>
      <c r="Z71" s="116"/>
      <c r="AA71" s="117"/>
      <c r="AB71" s="185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28" t="e">
        <f>V72/V68</f>
        <v>#DIV/0!</v>
      </c>
      <c r="V72" s="88">
        <f>V68-V74-V73</f>
        <v>0</v>
      </c>
      <c r="W72" s="87">
        <v>0</v>
      </c>
      <c r="X72" s="88">
        <f>'Request #23'!Y72</f>
        <v>0</v>
      </c>
      <c r="Y72" s="88">
        <f t="shared" ref="Y72:Y73" si="10">W72+X72</f>
        <v>0</v>
      </c>
      <c r="Z72" s="88">
        <f>V72-Y72</f>
        <v>0</v>
      </c>
      <c r="AA72" s="87">
        <v>0</v>
      </c>
      <c r="AB72" s="184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#23'!V73,"OK","Send in Change Order")</f>
        <v>OK</v>
      </c>
      <c r="S73" s="86" t="s">
        <v>95</v>
      </c>
      <c r="T73" s="114"/>
      <c r="U73" s="228" t="e">
        <f>V73/V68</f>
        <v>#DIV/0!</v>
      </c>
      <c r="V73" s="87">
        <f>'Request #23'!V73</f>
        <v>0</v>
      </c>
      <c r="W73" s="87">
        <v>0</v>
      </c>
      <c r="X73" s="88">
        <f>'Request #23'!Y73</f>
        <v>0</v>
      </c>
      <c r="Y73" s="88">
        <f t="shared" si="10"/>
        <v>0</v>
      </c>
      <c r="Z73" s="88">
        <f>V73-Y73</f>
        <v>0</v>
      </c>
      <c r="AA73" s="87">
        <v>0</v>
      </c>
      <c r="AB73" s="184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#23'!V74,"OK","Send in Change Order")</f>
        <v>OK</v>
      </c>
      <c r="S74" s="120" t="s">
        <v>96</v>
      </c>
      <c r="T74" s="121"/>
      <c r="U74" s="228" t="e">
        <f>V74/V68</f>
        <v>#DIV/0!</v>
      </c>
      <c r="V74" s="87">
        <f>'Request #23'!V74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84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221"/>
      <c r="V75" s="125"/>
      <c r="W75" s="126" t="s">
        <v>97</v>
      </c>
      <c r="X75" s="127"/>
      <c r="Y75" s="123"/>
      <c r="Z75" s="124"/>
      <c r="AA75" s="128"/>
      <c r="AB75" s="18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29"/>
      <c r="V76" s="114"/>
      <c r="W76" s="130" t="s">
        <v>99</v>
      </c>
      <c r="X76" s="131"/>
      <c r="Y76" s="302" t="s">
        <v>100</v>
      </c>
      <c r="Z76" s="302"/>
      <c r="AA76" s="303"/>
      <c r="AB76" s="183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30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84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30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84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31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84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221"/>
      <c r="V80" s="55"/>
      <c r="W80" s="55"/>
      <c r="X80" s="138"/>
      <c r="Y80" s="45" t="s">
        <v>108</v>
      </c>
      <c r="Z80" s="43"/>
      <c r="AA80" s="88">
        <f>'Request #23'!AA79</f>
        <v>0</v>
      </c>
      <c r="AB80" s="184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84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18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183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84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84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84"/>
    </row>
    <row r="87" spans="1:28" ht="30" customHeight="1" x14ac:dyDescent="0.3">
      <c r="S87" s="55"/>
      <c r="T87" s="55" t="s">
        <v>24</v>
      </c>
      <c r="U87" s="260">
        <f>AA3</f>
        <v>24</v>
      </c>
      <c r="V87" s="55"/>
      <c r="W87" s="55"/>
      <c r="X87" s="138"/>
      <c r="Y87" s="45" t="s">
        <v>108</v>
      </c>
      <c r="Z87" s="43"/>
      <c r="AA87" s="88">
        <f>'Request #23'!AA86</f>
        <v>0</v>
      </c>
      <c r="AB87" s="184"/>
    </row>
    <row r="88" spans="1:28" ht="30" customHeight="1" thickBot="1" x14ac:dyDescent="0.35">
      <c r="S88" s="55"/>
      <c r="T88" s="55"/>
      <c r="U88" s="221"/>
      <c r="V88" s="55"/>
      <c r="W88" s="55"/>
      <c r="X88" s="138"/>
      <c r="Y88" s="48" t="s">
        <v>110</v>
      </c>
      <c r="Z88" s="49"/>
      <c r="AA88" s="139">
        <f>AA86-AA87</f>
        <v>0</v>
      </c>
      <c r="AB88" s="184"/>
    </row>
    <row r="89" spans="1:28" ht="30" customHeight="1" thickTop="1" x14ac:dyDescent="0.3">
      <c r="S89" s="55"/>
      <c r="T89" s="55"/>
      <c r="U89" s="221"/>
      <c r="V89" s="55"/>
      <c r="W89" s="55"/>
      <c r="X89" s="55"/>
      <c r="Y89" s="55"/>
      <c r="Z89" s="55"/>
      <c r="AA89" s="55"/>
      <c r="AB89" s="180"/>
    </row>
    <row r="90" spans="1:28" ht="30" customHeight="1" x14ac:dyDescent="0.3">
      <c r="S90" s="55"/>
      <c r="T90" s="55"/>
      <c r="U90" s="221"/>
      <c r="V90" s="55"/>
      <c r="W90" s="55"/>
      <c r="X90" s="55"/>
      <c r="Y90" s="55"/>
      <c r="Z90" s="55"/>
      <c r="AA90" s="91"/>
      <c r="AB90" s="186"/>
    </row>
    <row r="91" spans="1:28" ht="30" customHeight="1" x14ac:dyDescent="0.3">
      <c r="S91" s="55"/>
      <c r="T91" s="55"/>
      <c r="U91" s="221"/>
      <c r="V91" s="55"/>
      <c r="W91" s="55"/>
      <c r="X91" s="55"/>
    </row>
    <row r="92" spans="1:28" ht="30" customHeight="1" x14ac:dyDescent="0.3">
      <c r="S92" s="55"/>
      <c r="T92" s="55"/>
      <c r="U92" s="221"/>
      <c r="V92" s="55"/>
      <c r="W92" s="55"/>
      <c r="X92" s="55"/>
    </row>
    <row r="93" spans="1:28" ht="30" customHeight="1" x14ac:dyDescent="0.3">
      <c r="S93" s="55"/>
      <c r="T93" s="55"/>
      <c r="U93" s="221"/>
      <c r="V93" s="55"/>
      <c r="W93" s="55"/>
      <c r="X93" s="55"/>
    </row>
    <row r="94" spans="1:28" ht="30" customHeight="1" x14ac:dyDescent="0.3">
      <c r="S94" s="55"/>
      <c r="T94" s="55"/>
      <c r="U94" s="221"/>
      <c r="V94" s="55"/>
      <c r="W94" s="55"/>
      <c r="X94" s="55"/>
    </row>
    <row r="95" spans="1:28" ht="30" customHeight="1" x14ac:dyDescent="0.3">
      <c r="S95" s="55"/>
      <c r="T95" s="55"/>
      <c r="U95" s="221"/>
      <c r="V95" s="55"/>
      <c r="W95" s="55"/>
      <c r="X95" s="55"/>
    </row>
    <row r="96" spans="1:28" ht="30" customHeight="1" x14ac:dyDescent="0.3">
      <c r="S96" s="55"/>
      <c r="T96" s="55"/>
      <c r="U96" s="221"/>
      <c r="V96" s="55"/>
      <c r="W96" s="55"/>
      <c r="X96" s="55"/>
    </row>
    <row r="97" spans="15:24" ht="30" customHeight="1" x14ac:dyDescent="0.3">
      <c r="S97" s="55"/>
      <c r="T97" s="55"/>
      <c r="U97" s="221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7Be48kQfGT7IoWrNzDb8GEKKiXLHrkj3srXqttZVh2m7tnoi2B9Cnc7R3RQNuE7j6Dh1YbC4t0rX/WMHxRc9vw==" saltValue="CHMmWheIeTmEPemApoj/8g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224" priority="10" operator="containsText" text="Change">
      <formula>NOT(ISERROR(SEARCH("Change",R1)))</formula>
    </cfRule>
  </conditionalFormatting>
  <conditionalFormatting sqref="R45:R48">
    <cfRule type="cellIs" dxfId="223" priority="7" operator="equal">
      <formula>"Send in Change Order"</formula>
    </cfRule>
  </conditionalFormatting>
  <conditionalFormatting sqref="W68">
    <cfRule type="cellIs" dxfId="222" priority="2" operator="notEqual">
      <formula>$E$82</formula>
    </cfRule>
    <cfRule type="cellIs" dxfId="221" priority="3" operator="greaterThan">
      <formula>$E$82</formula>
    </cfRule>
    <cfRule type="cellIs" dxfId="220" priority="4" operator="notEqual">
      <formula>$E$82</formula>
    </cfRule>
  </conditionalFormatting>
  <conditionalFormatting sqref="Z12:Z44">
    <cfRule type="cellIs" dxfId="219" priority="8" operator="lessThan">
      <formula>0</formula>
    </cfRule>
  </conditionalFormatting>
  <conditionalFormatting sqref="Z49:Z68">
    <cfRule type="cellIs" dxfId="218" priority="5" operator="lessThan">
      <formula>0</formula>
    </cfRule>
  </conditionalFormatting>
  <conditionalFormatting sqref="AA68">
    <cfRule type="cellIs" dxfId="217" priority="1" operator="notEqual">
      <formula>$O$82</formula>
    </cfRule>
  </conditionalFormatting>
  <conditionalFormatting sqref="AB1:AB1048576">
    <cfRule type="containsText" dxfId="216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1" manualBreakCount="11">
    <brk id="6" max="88" man="1"/>
    <brk id="10" max="1048575" man="1"/>
    <brk id="16" max="88" man="1"/>
    <brk id="18" max="1048575" man="1"/>
    <brk id="27" max="88" man="1"/>
    <brk id="29" max="1048575" man="1"/>
    <brk id="52" max="1048575" man="1"/>
    <brk id="99" max="1048575" man="1"/>
    <brk id="101" max="1048575" man="1"/>
    <brk id="110" max="1048575" man="1"/>
    <brk id="111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20.554687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33203125" style="50" customWidth="1"/>
    <col min="19" max="19" width="6.109375" style="39" customWidth="1"/>
    <col min="20" max="20" width="30.5546875" style="39" customWidth="1"/>
    <col min="21" max="21" width="17.77734375" style="219" customWidth="1"/>
    <col min="22" max="27" width="18.88671875" style="39" customWidth="1"/>
    <col min="28" max="28" width="2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220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25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220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220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221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22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23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25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218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#24'!V12,"OK","Send in Change Order")</f>
        <v>OK</v>
      </c>
      <c r="S12" s="85">
        <v>1</v>
      </c>
      <c r="T12" s="86" t="str">
        <f>'Request #24'!T12</f>
        <v>Land/Site Grading &amp; Improv.</v>
      </c>
      <c r="U12" s="218">
        <f>'Request #24'!U12</f>
        <v>0</v>
      </c>
      <c r="V12" s="87">
        <f>'Request #24'!V12</f>
        <v>0</v>
      </c>
      <c r="W12" s="88">
        <f>SUMIF(F7:F79,1,E7:E79)</f>
        <v>0</v>
      </c>
      <c r="X12" s="88">
        <f>'Request #24'!Y12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#24'!AA12,"OK","Alert,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#24'!V13,"OK","Send in Change Order")</f>
        <v>OK</v>
      </c>
      <c r="S13" s="85">
        <v>2</v>
      </c>
      <c r="T13" s="86" t="str">
        <f>'Request #24'!T13</f>
        <v xml:space="preserve">General Contract </v>
      </c>
      <c r="U13" s="218">
        <f>'Request #24'!U13</f>
        <v>0</v>
      </c>
      <c r="V13" s="87">
        <f>'Request #24'!V13</f>
        <v>0</v>
      </c>
      <c r="W13" s="88">
        <f>SUMIF(F7:F79,2,E7:E79)</f>
        <v>0</v>
      </c>
      <c r="X13" s="88">
        <f>'Request #24'!Y13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#24'!AA13,"OK","Alert,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#24'!V14,"OK","Send in Change Order")</f>
        <v>OK</v>
      </c>
      <c r="S14" s="85">
        <v>3</v>
      </c>
      <c r="T14" s="86" t="str">
        <f>'Request #24'!T14</f>
        <v>Designer Contract</v>
      </c>
      <c r="U14" s="218">
        <f>'Request #24'!U14</f>
        <v>0</v>
      </c>
      <c r="V14" s="87">
        <f>'Request #24'!V14</f>
        <v>0</v>
      </c>
      <c r="W14" s="88">
        <f>SUMIF(F7:F79,3,E7:E79)</f>
        <v>0</v>
      </c>
      <c r="X14" s="88">
        <f>'Request #24'!Y14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#24'!AA14,"OK","Alert,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#24'!V15,"OK","Send in Change Order")</f>
        <v>OK</v>
      </c>
      <c r="S15" s="85">
        <v>4</v>
      </c>
      <c r="T15" s="86" t="str">
        <f>'Request #24'!T15</f>
        <v>Designer Reimbursables</v>
      </c>
      <c r="U15" s="218">
        <f>'Request #24'!U15</f>
        <v>0</v>
      </c>
      <c r="V15" s="87">
        <f>'Request #24'!V15</f>
        <v>0</v>
      </c>
      <c r="W15" s="88">
        <f>SUMIF(F7:F79,4,E7:E79)</f>
        <v>0</v>
      </c>
      <c r="X15" s="88">
        <f>'Request #24'!Y15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#24'!AA15,"OK","Alert,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#24'!V16,"OK","Send in Change Order")</f>
        <v>OK</v>
      </c>
      <c r="S16" s="85">
        <v>5</v>
      </c>
      <c r="T16" s="86" t="str">
        <f>'Request #24'!T16</f>
        <v>Other Contracts</v>
      </c>
      <c r="U16" s="218">
        <f>'Request #24'!U16</f>
        <v>0</v>
      </c>
      <c r="V16" s="87">
        <f>'Request #24'!V16</f>
        <v>0</v>
      </c>
      <c r="W16" s="88">
        <f>SUMIF(F7:F79,5,E7:E79)</f>
        <v>0</v>
      </c>
      <c r="X16" s="88">
        <f>'Request #24'!Y16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#24'!AA16,"OK","Alert,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#24'!V17,"OK","Send in Change Order")</f>
        <v>OK</v>
      </c>
      <c r="S17" s="85">
        <v>6</v>
      </c>
      <c r="T17" s="86" t="str">
        <f>'Request #24'!T17</f>
        <v>Other Contracts</v>
      </c>
      <c r="U17" s="218">
        <f>'Request #24'!U17</f>
        <v>0</v>
      </c>
      <c r="V17" s="87">
        <f>'Request #24'!V17</f>
        <v>0</v>
      </c>
      <c r="W17" s="88">
        <f>SUMIF(F7:F79,6,E7:E79)</f>
        <v>0</v>
      </c>
      <c r="X17" s="88">
        <f>'Request #24'!Y17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#24'!AA17,"OK","Alert,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#24'!V18,"OK","Send in Change Order")</f>
        <v>OK</v>
      </c>
      <c r="S18" s="85">
        <v>7</v>
      </c>
      <c r="T18" s="86" t="str">
        <f>'Request #24'!T18</f>
        <v>Other Contracts</v>
      </c>
      <c r="U18" s="218">
        <f>'Request #24'!U18</f>
        <v>0</v>
      </c>
      <c r="V18" s="87">
        <f>'Request #24'!V18</f>
        <v>0</v>
      </c>
      <c r="W18" s="88">
        <f>SUMIF(F7:F79,7,E7:E79)</f>
        <v>0</v>
      </c>
      <c r="X18" s="88">
        <f>'Request #24'!Y18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#24'!AA18,"OK","Alert,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#24'!V19,"OK","Send in Change Order")</f>
        <v>OK</v>
      </c>
      <c r="S19" s="85">
        <v>8</v>
      </c>
      <c r="T19" s="86" t="str">
        <f>'Request #24'!T19</f>
        <v>Other Contracts</v>
      </c>
      <c r="U19" s="218">
        <f>'Request #24'!U19</f>
        <v>0</v>
      </c>
      <c r="V19" s="87">
        <f>'Request #24'!V19</f>
        <v>0</v>
      </c>
      <c r="W19" s="88">
        <f>SUMIF(F7:F79,8,E7:E79)</f>
        <v>0</v>
      </c>
      <c r="X19" s="88">
        <f>'Request #24'!Y19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#24'!AA19,"OK","Alert,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#24'!V20,"OK","Send in Change Order")</f>
        <v>OK</v>
      </c>
      <c r="S20" s="85">
        <v>9</v>
      </c>
      <c r="T20" s="86" t="str">
        <f>'Request #24'!T20</f>
        <v>Other Contracts</v>
      </c>
      <c r="U20" s="218">
        <f>'Request #24'!U20</f>
        <v>0</v>
      </c>
      <c r="V20" s="87">
        <f>'Request #24'!V20</f>
        <v>0</v>
      </c>
      <c r="W20" s="88">
        <f>SUMIF(F7:F79,9,E7:E79)</f>
        <v>0</v>
      </c>
      <c r="X20" s="88">
        <f>'Request #24'!Y20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#24'!AA20,"OK","Alert,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#24'!V21,"OK","Send in Change Order")</f>
        <v>OK</v>
      </c>
      <c r="S21" s="85">
        <v>10</v>
      </c>
      <c r="T21" s="86" t="str">
        <f>'Request #24'!T21</f>
        <v>Other Contracts</v>
      </c>
      <c r="U21" s="218">
        <f>'Request #24'!U21</f>
        <v>0</v>
      </c>
      <c r="V21" s="87">
        <f>'Request #24'!V21</f>
        <v>0</v>
      </c>
      <c r="W21" s="88">
        <f>SUMIF(F7:F79,10,E7:E79)</f>
        <v>0</v>
      </c>
      <c r="X21" s="88">
        <f>'Request #24'!Y21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#24'!AA21,"OK","Alert,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#24'!V22,"OK","Send in Change Order")</f>
        <v>OK</v>
      </c>
      <c r="S22" s="85">
        <v>11</v>
      </c>
      <c r="T22" s="86" t="str">
        <f>'Request #24'!T22</f>
        <v>Other Contracts</v>
      </c>
      <c r="U22" s="218">
        <f>'Request #24'!U22</f>
        <v>0</v>
      </c>
      <c r="V22" s="87">
        <f>'Request #24'!V22</f>
        <v>0</v>
      </c>
      <c r="W22" s="88">
        <f>SUMIF(F7:F79,11,E7:E79)</f>
        <v>0</v>
      </c>
      <c r="X22" s="88">
        <f>'Request #24'!Y22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#24'!AA22,"OK","Alert,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#24'!V23,"OK","Send in Change Order")</f>
        <v>OK</v>
      </c>
      <c r="S23" s="85">
        <v>12</v>
      </c>
      <c r="T23" s="86" t="str">
        <f>'Request #24'!T23</f>
        <v>Other Contracts</v>
      </c>
      <c r="U23" s="218">
        <f>'Request #24'!U23</f>
        <v>0</v>
      </c>
      <c r="V23" s="87">
        <f>'Request #24'!V23</f>
        <v>0</v>
      </c>
      <c r="W23" s="88">
        <f>SUMIF(F7:F79,12,E7:E79)</f>
        <v>0</v>
      </c>
      <c r="X23" s="88">
        <f>'Request #24'!Y23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#24'!AA23,"OK","Alert,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#24'!V24,"OK","Send in Change Order")</f>
        <v>OK</v>
      </c>
      <c r="S24" s="85">
        <v>13</v>
      </c>
      <c r="T24" s="86" t="str">
        <f>'Request #24'!T24</f>
        <v>Other Contracts</v>
      </c>
      <c r="U24" s="218">
        <f>'Request #24'!U24</f>
        <v>0</v>
      </c>
      <c r="V24" s="87">
        <f>'Request #24'!V24</f>
        <v>0</v>
      </c>
      <c r="W24" s="88">
        <f>SUMIF(F7:F79,13,E7:E79)</f>
        <v>0</v>
      </c>
      <c r="X24" s="88">
        <f>'Request #24'!Y24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#24'!AA24,"OK","Alert,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#24'!V25,"OK","Send in Change Order")</f>
        <v>OK</v>
      </c>
      <c r="S25" s="85">
        <v>14</v>
      </c>
      <c r="T25" s="86" t="str">
        <f>'Request #24'!T25</f>
        <v>Other Contracts</v>
      </c>
      <c r="U25" s="218">
        <f>'Request #24'!U25</f>
        <v>0</v>
      </c>
      <c r="V25" s="87">
        <f>'Request #24'!V25</f>
        <v>0</v>
      </c>
      <c r="W25" s="88">
        <f>SUMIF(F7:F79,14,E7:E79)</f>
        <v>0</v>
      </c>
      <c r="X25" s="88">
        <f>'Request #24'!Y25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#24'!AA25,"OK","Alert,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#24'!V26,"OK","Send in Change Order")</f>
        <v>OK</v>
      </c>
      <c r="S26" s="85">
        <v>15</v>
      </c>
      <c r="T26" s="86" t="str">
        <f>'Request #24'!T26</f>
        <v>Other Contracts</v>
      </c>
      <c r="U26" s="218">
        <f>'Request #24'!U26</f>
        <v>0</v>
      </c>
      <c r="V26" s="87">
        <f>'Request #24'!V26</f>
        <v>0</v>
      </c>
      <c r="W26" s="88">
        <f>SUMIF(F7:F79,15,E7:E79)</f>
        <v>0</v>
      </c>
      <c r="X26" s="88">
        <f>'Request #24'!Y26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#24'!AA26,"OK","Alert,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#24'!V27,"OK","Send in Change Order")</f>
        <v>OK</v>
      </c>
      <c r="S27" s="85">
        <v>16</v>
      </c>
      <c r="T27" s="86" t="str">
        <f>'Request #24'!T27</f>
        <v>Other Contracts</v>
      </c>
      <c r="U27" s="218">
        <f>'Request #24'!U27</f>
        <v>0</v>
      </c>
      <c r="V27" s="87">
        <f>'Request #24'!V27</f>
        <v>0</v>
      </c>
      <c r="W27" s="88">
        <f>SUMIF(F7:F79,16,E7:E79)</f>
        <v>0</v>
      </c>
      <c r="X27" s="88">
        <f>'Request #24'!Y27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#24'!AA27,"OK","Alert,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#24'!V28,"OK","Send in Change Order")</f>
        <v>OK</v>
      </c>
      <c r="S28" s="85">
        <v>17</v>
      </c>
      <c r="T28" s="86" t="str">
        <f>'Request #24'!T28</f>
        <v>Other Contracts</v>
      </c>
      <c r="U28" s="218">
        <f>'Request #24'!U28</f>
        <v>0</v>
      </c>
      <c r="V28" s="87">
        <f>'Request #24'!V28</f>
        <v>0</v>
      </c>
      <c r="W28" s="88">
        <f>SUMIF(F7:F79,17,E7:E79)</f>
        <v>0</v>
      </c>
      <c r="X28" s="88">
        <f>'Request #24'!Y28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#24'!AA28,"OK","Alert,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#24'!V29,"OK","Send in Change Order")</f>
        <v>OK</v>
      </c>
      <c r="S29" s="85">
        <v>18</v>
      </c>
      <c r="T29" s="86" t="str">
        <f>'Request #24'!T29</f>
        <v>Other Contracts</v>
      </c>
      <c r="U29" s="218">
        <f>'Request #24'!U29</f>
        <v>0</v>
      </c>
      <c r="V29" s="87">
        <f>'Request #24'!V29</f>
        <v>0</v>
      </c>
      <c r="W29" s="88">
        <f>SUMIF(F7:F79,18,E7:E79)</f>
        <v>0</v>
      </c>
      <c r="X29" s="88">
        <f>'Request #24'!Y29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#24'!AA29,"OK","Alert,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#24'!V30,"OK","Send in Change Order")</f>
        <v>OK</v>
      </c>
      <c r="S30" s="85">
        <v>19</v>
      </c>
      <c r="T30" s="86" t="str">
        <f>'Request #24'!T30</f>
        <v>Other Contracts</v>
      </c>
      <c r="U30" s="218">
        <f>'Request #24'!U30</f>
        <v>0</v>
      </c>
      <c r="V30" s="87">
        <f>'Request #24'!V30</f>
        <v>0</v>
      </c>
      <c r="W30" s="88">
        <f>SUMIF(F7:F79,19,E7:E79)</f>
        <v>0</v>
      </c>
      <c r="X30" s="88">
        <f>'Request #24'!Y30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#24'!AA30,"OK","Alert,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#24'!V31,"OK","Send in Change Order")</f>
        <v>OK</v>
      </c>
      <c r="S31" s="85">
        <v>20</v>
      </c>
      <c r="T31" s="86" t="str">
        <f>'Request #24'!T31</f>
        <v>Other Contracts</v>
      </c>
      <c r="U31" s="218">
        <f>'Request #24'!U31</f>
        <v>0</v>
      </c>
      <c r="V31" s="87">
        <f>'Request #24'!V31</f>
        <v>0</v>
      </c>
      <c r="W31" s="88">
        <f>SUMIF(F7:F79,20,E7:E79)</f>
        <v>0</v>
      </c>
      <c r="X31" s="88">
        <f>'Request #24'!Y31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#24'!AA31,"OK","Alert,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#24'!V32,"OK","Send in Change Order")</f>
        <v>OK</v>
      </c>
      <c r="S32" s="85">
        <v>21</v>
      </c>
      <c r="T32" s="86" t="str">
        <f>'Request #24'!T32</f>
        <v>Other Contracts</v>
      </c>
      <c r="U32" s="218">
        <f>'Request #24'!U32</f>
        <v>0</v>
      </c>
      <c r="V32" s="87">
        <f>'Request #24'!V32</f>
        <v>0</v>
      </c>
      <c r="W32" s="88">
        <f>SUMIF(F7:F79,21,E7:E79)</f>
        <v>0</v>
      </c>
      <c r="X32" s="88">
        <f>'Request #24'!Y32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#24'!AA32,"OK","Alert,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#24'!V33,"OK","Send in Change Order")</f>
        <v>OK</v>
      </c>
      <c r="S33" s="85">
        <v>22</v>
      </c>
      <c r="T33" s="86" t="str">
        <f>'Request #24'!T33</f>
        <v>Other Contracts</v>
      </c>
      <c r="U33" s="218">
        <f>'Request #24'!U33</f>
        <v>0</v>
      </c>
      <c r="V33" s="87">
        <f>'Request #24'!V33</f>
        <v>0</v>
      </c>
      <c r="W33" s="88">
        <f>SUMIF(F7:F79,22,E7:E79)</f>
        <v>0</v>
      </c>
      <c r="X33" s="88">
        <f>'Request #24'!Y33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#24'!AA33,"OK","Alert,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#24'!V34,"OK","Send in Change Order")</f>
        <v>OK</v>
      </c>
      <c r="S34" s="85">
        <v>23</v>
      </c>
      <c r="T34" s="86" t="str">
        <f>'Request #24'!T34</f>
        <v>Other Contracts</v>
      </c>
      <c r="U34" s="218">
        <f>'Request #24'!U34</f>
        <v>0</v>
      </c>
      <c r="V34" s="87">
        <f>'Request #24'!V34</f>
        <v>0</v>
      </c>
      <c r="W34" s="88">
        <f>SUMIF(F7:F79,23,E7:E79)</f>
        <v>0</v>
      </c>
      <c r="X34" s="88">
        <f>'Request #24'!Y34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#24'!AA34,"OK","Alert,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#24'!V35,"OK","Send in Change Order")</f>
        <v>OK</v>
      </c>
      <c r="S35" s="85">
        <v>24</v>
      </c>
      <c r="T35" s="86" t="str">
        <f>'Request #24'!T35</f>
        <v>Other Contracts</v>
      </c>
      <c r="U35" s="218">
        <f>'Request #24'!U35</f>
        <v>0</v>
      </c>
      <c r="V35" s="87">
        <f>'Request #24'!V35</f>
        <v>0</v>
      </c>
      <c r="W35" s="88">
        <f>SUMIF(F7:F79,24,E7:E79)</f>
        <v>0</v>
      </c>
      <c r="X35" s="88">
        <f>'Request #24'!Y35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#24'!AA35,"OK","Alert,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#24'!V36,"OK","Send in Change Order")</f>
        <v>OK</v>
      </c>
      <c r="S36" s="85">
        <v>25</v>
      </c>
      <c r="T36" s="86" t="str">
        <f>'Request #24'!T36</f>
        <v>Other Contracts</v>
      </c>
      <c r="U36" s="218">
        <f>'Request #24'!U36</f>
        <v>0</v>
      </c>
      <c r="V36" s="87">
        <f>'Request #24'!V36</f>
        <v>0</v>
      </c>
      <c r="W36" s="88">
        <f>SUMIF(F7:F79,25,E7:E79)</f>
        <v>0</v>
      </c>
      <c r="X36" s="88">
        <f>'Request #24'!Y36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#24'!AA36,"OK","Alert,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#24'!V37,"OK","Send in Change Order")</f>
        <v>OK</v>
      </c>
      <c r="S37" s="85">
        <v>26</v>
      </c>
      <c r="T37" s="86" t="str">
        <f>'Request #24'!T37</f>
        <v>Other Fees</v>
      </c>
      <c r="U37" s="218">
        <f>'Request #24'!U37</f>
        <v>0</v>
      </c>
      <c r="V37" s="87">
        <f>'Request #24'!V37</f>
        <v>0</v>
      </c>
      <c r="W37" s="88">
        <f>SUMIF(F7:F79,26,E7:E79)</f>
        <v>0</v>
      </c>
      <c r="X37" s="88">
        <f>'Request #24'!Y37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#24'!AA37,"OK","Alert,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#24'!V38,"OK","Send in Change Order")</f>
        <v>OK</v>
      </c>
      <c r="S38" s="85">
        <v>27</v>
      </c>
      <c r="T38" s="86" t="str">
        <f>'Request #24'!T38</f>
        <v>Other Fees</v>
      </c>
      <c r="U38" s="218">
        <f>'Request #24'!U38</f>
        <v>0</v>
      </c>
      <c r="V38" s="87">
        <f>'Request #24'!V38</f>
        <v>0</v>
      </c>
      <c r="W38" s="88">
        <f>SUMIF(F7:F79,27,E7:E79)</f>
        <v>0</v>
      </c>
      <c r="X38" s="88">
        <f>'Request #24'!Y38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#24'!AA38,"OK","Alert,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#24'!V39,"OK","Send in Change Order")</f>
        <v>OK</v>
      </c>
      <c r="S39" s="85">
        <v>28</v>
      </c>
      <c r="T39" s="86" t="str">
        <f>'Request #24'!T39</f>
        <v>Other Fees</v>
      </c>
      <c r="U39" s="218">
        <f>'Request #24'!U39</f>
        <v>0</v>
      </c>
      <c r="V39" s="87">
        <f>'Request #24'!V39</f>
        <v>0</v>
      </c>
      <c r="W39" s="88">
        <f>SUMIF(F7:F79,28,E7:E79)</f>
        <v>0</v>
      </c>
      <c r="X39" s="88">
        <f>'Request #24'!Y39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#24'!AA39,"OK","Alert,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#24'!V40,"OK","Send in Change Order")</f>
        <v>OK</v>
      </c>
      <c r="S40" s="85">
        <v>29</v>
      </c>
      <c r="T40" s="86" t="str">
        <f>'Request #24'!T40</f>
        <v>Other Fees</v>
      </c>
      <c r="U40" s="218">
        <f>'Request #24'!U40</f>
        <v>0</v>
      </c>
      <c r="V40" s="87">
        <f>'Request #24'!V40</f>
        <v>0</v>
      </c>
      <c r="W40" s="88">
        <f>SUMIF(F7:F79,29,E7:E79)</f>
        <v>0</v>
      </c>
      <c r="X40" s="88">
        <f>'Request #24'!Y40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#24'!AA40,"OK","Alert,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#24'!V41,"OK","Send in Change Order")</f>
        <v>OK</v>
      </c>
      <c r="S41" s="85">
        <v>30</v>
      </c>
      <c r="T41" s="86" t="str">
        <f>'Request #24'!T41</f>
        <v>Other Fees</v>
      </c>
      <c r="U41" s="218">
        <f>'Request #24'!U41</f>
        <v>0</v>
      </c>
      <c r="V41" s="87">
        <f>'Request #24'!V41</f>
        <v>0</v>
      </c>
      <c r="W41" s="88">
        <f>SUMIF(F7:F79,30,E7:E79)</f>
        <v>0</v>
      </c>
      <c r="X41" s="88">
        <f>'Request #24'!Y41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#24'!AA41,"OK","Alert,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#24'!V42,"OK","Send in Change Order")</f>
        <v>OK</v>
      </c>
      <c r="S42" s="85">
        <v>31</v>
      </c>
      <c r="T42" s="86" t="str">
        <f>'Request #24'!T42</f>
        <v>Other Fees</v>
      </c>
      <c r="U42" s="218">
        <f>'Request #24'!U42</f>
        <v>0</v>
      </c>
      <c r="V42" s="87">
        <f>'Request #24'!V42</f>
        <v>0</v>
      </c>
      <c r="W42" s="88">
        <f>SUMIF(F7:F79,31,E7:E79)</f>
        <v>0</v>
      </c>
      <c r="X42" s="88">
        <f>'Request #24'!Y42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#24'!AA42,"OK","Alert,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#24'!V43,"OK","Send in Change Order")</f>
        <v>OK</v>
      </c>
      <c r="S43" s="85">
        <v>32</v>
      </c>
      <c r="T43" s="86" t="str">
        <f>'Request #24'!T43</f>
        <v>Other Fees</v>
      </c>
      <c r="U43" s="218">
        <f>'Request #24'!U43</f>
        <v>0</v>
      </c>
      <c r="V43" s="87">
        <f>'Request #24'!V43</f>
        <v>0</v>
      </c>
      <c r="W43" s="88">
        <f>SUMIF(F7:F79,32,E7:E79)</f>
        <v>0</v>
      </c>
      <c r="X43" s="88">
        <f>'Request #24'!Y43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#24'!AA43,"OK","Alert,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#24'!V44,"OK","Send in Change Order")</f>
        <v>OK</v>
      </c>
      <c r="S44" s="85">
        <v>33</v>
      </c>
      <c r="T44" s="86" t="str">
        <f>'Request #24'!T44</f>
        <v>Other Fees</v>
      </c>
      <c r="U44" s="218">
        <f>'Request #24'!U44</f>
        <v>0</v>
      </c>
      <c r="V44" s="87">
        <f>'Request #24'!V44</f>
        <v>0</v>
      </c>
      <c r="W44" s="88">
        <f>SUMIF(F7:F79,33,E7:E79)</f>
        <v>0</v>
      </c>
      <c r="X44" s="88">
        <f>'Request #24'!Y44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#24'!AA44,"OK","Alert,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#24'!V49,"OK","Send in Change Order")</f>
        <v>OK</v>
      </c>
      <c r="S49" s="85">
        <v>38</v>
      </c>
      <c r="T49" s="86" t="str">
        <f>'Request #24'!T49</f>
        <v>Other Fees</v>
      </c>
      <c r="U49" s="218">
        <f>'Request #24'!U49</f>
        <v>0</v>
      </c>
      <c r="V49" s="87">
        <f>'Request #24'!V49</f>
        <v>0</v>
      </c>
      <c r="W49" s="88">
        <f>SUMIF(F7:F79,38,E7:E79)</f>
        <v>0</v>
      </c>
      <c r="X49" s="88">
        <f>'Request #24'!Y49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#24'!AA49,"OK","Alert,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#24'!V50,"OK","Send in Change Order")</f>
        <v>OK</v>
      </c>
      <c r="S50" s="85">
        <v>39</v>
      </c>
      <c r="T50" s="86" t="str">
        <f>'Request #24'!T50</f>
        <v>Other Fees</v>
      </c>
      <c r="U50" s="218">
        <f>'Request #24'!U50</f>
        <v>0</v>
      </c>
      <c r="V50" s="87">
        <f>'Request #24'!V50</f>
        <v>0</v>
      </c>
      <c r="W50" s="88">
        <f>SUMIF(F7:F79,39,E7:E79)</f>
        <v>0</v>
      </c>
      <c r="X50" s="88">
        <f>'Request #24'!Y50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#24'!AA50,"OK","Alert,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#24'!V51,"OK","Send in Change Order")</f>
        <v>OK</v>
      </c>
      <c r="S51" s="85">
        <v>40</v>
      </c>
      <c r="T51" s="86" t="str">
        <f>'Request #24'!T51</f>
        <v>Other Fees</v>
      </c>
      <c r="U51" s="218">
        <f>'Request #24'!U51</f>
        <v>0</v>
      </c>
      <c r="V51" s="87">
        <f>'Request #24'!V51</f>
        <v>0</v>
      </c>
      <c r="W51" s="88">
        <f>SUMIF(F7:F79,40,E7:E79)</f>
        <v>0</v>
      </c>
      <c r="X51" s="88">
        <f>'Request #24'!Y51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#24'!AA51,"OK","Alert,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#24'!V52,"OK","Send in Change Order")</f>
        <v>OK</v>
      </c>
      <c r="S52" s="85">
        <v>41</v>
      </c>
      <c r="T52" s="86" t="str">
        <f>'Request #24'!T52</f>
        <v>Other Fees</v>
      </c>
      <c r="U52" s="218">
        <f>'Request #24'!U52</f>
        <v>0</v>
      </c>
      <c r="V52" s="87">
        <f>'Request #24'!V52</f>
        <v>0</v>
      </c>
      <c r="W52" s="88">
        <f>SUMIF(F7:F79,41,E7:E79)</f>
        <v>0</v>
      </c>
      <c r="X52" s="88">
        <f>'Request #24'!Y52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#24'!AA52,"OK","Alert,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#24'!V53,"OK","Send in Change Order")</f>
        <v>OK</v>
      </c>
      <c r="S53" s="85">
        <v>42</v>
      </c>
      <c r="T53" s="86" t="str">
        <f>'Request #24'!T53</f>
        <v>Other Fees</v>
      </c>
      <c r="U53" s="218">
        <f>'Request #24'!U53</f>
        <v>0</v>
      </c>
      <c r="V53" s="87">
        <f>'Request #24'!V53</f>
        <v>0</v>
      </c>
      <c r="W53" s="88">
        <f>SUMIF(F7:F79,42,E7:E79)</f>
        <v>0</v>
      </c>
      <c r="X53" s="88">
        <f>'Request #24'!Y53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#24'!AA53,"OK","Alert,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#24'!V54,"OK","Send in Change Order")</f>
        <v>OK</v>
      </c>
      <c r="S54" s="85">
        <v>43</v>
      </c>
      <c r="T54" s="86" t="str">
        <f>'Request #24'!T54</f>
        <v>Other Fees</v>
      </c>
      <c r="U54" s="218">
        <f>'Request #24'!U54</f>
        <v>0</v>
      </c>
      <c r="V54" s="87">
        <f>'Request #24'!V54</f>
        <v>0</v>
      </c>
      <c r="W54" s="88">
        <f>SUMIF(F7:F79,43,E7:E79)</f>
        <v>0</v>
      </c>
      <c r="X54" s="88">
        <f>'Request #24'!Y54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#24'!AA54,"OK","Alert,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#24'!V55,"OK","Send in Change Order")</f>
        <v>OK</v>
      </c>
      <c r="S55" s="85">
        <v>44</v>
      </c>
      <c r="T55" s="86" t="str">
        <f>'Request #24'!T55</f>
        <v>Other Fees</v>
      </c>
      <c r="U55" s="218">
        <f>'Request #24'!U55</f>
        <v>0</v>
      </c>
      <c r="V55" s="87">
        <f>'Request #24'!V55</f>
        <v>0</v>
      </c>
      <c r="W55" s="88">
        <f>SUMIF(F7:F79,44,E7:E79)</f>
        <v>0</v>
      </c>
      <c r="X55" s="88">
        <f>'Request #24'!Y55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#24'!AA55,"OK","Alert,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#24'!V56,"OK","Send in Change Order")</f>
        <v>OK</v>
      </c>
      <c r="S56" s="85">
        <v>45</v>
      </c>
      <c r="T56" s="86" t="str">
        <f>'Request #24'!T56</f>
        <v>Other Fees</v>
      </c>
      <c r="U56" s="218">
        <f>'Request #24'!U56</f>
        <v>0</v>
      </c>
      <c r="V56" s="87">
        <f>'Request #24'!V56</f>
        <v>0</v>
      </c>
      <c r="W56" s="88">
        <f>SUMIF(F7:F79,45,E7:E79)</f>
        <v>0</v>
      </c>
      <c r="X56" s="88">
        <f>'Request #24'!Y56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#24'!AA56,"OK","Alert,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#24'!V57,"OK","Send in Change Order")</f>
        <v>OK</v>
      </c>
      <c r="S57" s="85">
        <v>46</v>
      </c>
      <c r="T57" s="86" t="str">
        <f>'Request #24'!T57</f>
        <v>Other Fees</v>
      </c>
      <c r="U57" s="218">
        <f>'Request #24'!U57</f>
        <v>0</v>
      </c>
      <c r="V57" s="87">
        <f>'Request #24'!V57</f>
        <v>0</v>
      </c>
      <c r="W57" s="88">
        <f>SUMIF(F7:F79,46,E7:E79)</f>
        <v>0</v>
      </c>
      <c r="X57" s="88">
        <f>'Request #24'!Y57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#24'!AA57,"OK","Alert,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#24'!V58,"OK","Send in Change Order")</f>
        <v>OK</v>
      </c>
      <c r="S58" s="85">
        <v>47</v>
      </c>
      <c r="T58" s="86" t="str">
        <f>'Request #24'!T58</f>
        <v>Other Fees</v>
      </c>
      <c r="U58" s="218">
        <f>'Request #24'!U58</f>
        <v>0</v>
      </c>
      <c r="V58" s="87">
        <f>'Request #24'!V58</f>
        <v>0</v>
      </c>
      <c r="W58" s="88">
        <f>SUMIF(F7:F79,47,E7:E79)</f>
        <v>0</v>
      </c>
      <c r="X58" s="88">
        <f>'Request #24'!Y58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#24'!AA58,"OK","Alert,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#24'!V59,"OK","Send in Change Order")</f>
        <v>OK</v>
      </c>
      <c r="S59" s="85">
        <v>48</v>
      </c>
      <c r="T59" s="86" t="str">
        <f>'Request #24'!T59</f>
        <v>Other Fees</v>
      </c>
      <c r="U59" s="218">
        <f>'Request #24'!U59</f>
        <v>0</v>
      </c>
      <c r="V59" s="87">
        <f>'Request #24'!V59</f>
        <v>0</v>
      </c>
      <c r="W59" s="88">
        <f>SUMIF(F7:F79,48,E7:E79)</f>
        <v>0</v>
      </c>
      <c r="X59" s="88">
        <f>'Request #24'!Y59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#24'!AA59,"OK","Alert,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#24'!V60,"OK","Send in Change Order")</f>
        <v>OK</v>
      </c>
      <c r="S60" s="85">
        <v>49</v>
      </c>
      <c r="T60" s="86" t="str">
        <f>'Request #24'!T60</f>
        <v>Other Fees</v>
      </c>
      <c r="U60" s="218">
        <f>'Request #24'!U60</f>
        <v>0</v>
      </c>
      <c r="V60" s="87">
        <f>'Request #24'!V60</f>
        <v>0</v>
      </c>
      <c r="W60" s="88">
        <f>SUMIF(F7:F79,49,E7:E79)</f>
        <v>0</v>
      </c>
      <c r="X60" s="88">
        <f>'Request #24'!Y60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#24'!AA60,"OK","Alert,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#24'!V61,"OK","Send in Change Order")</f>
        <v>OK</v>
      </c>
      <c r="S61" s="85">
        <v>50</v>
      </c>
      <c r="T61" s="86" t="str">
        <f>'Request #24'!T61</f>
        <v>Other Fees</v>
      </c>
      <c r="U61" s="218">
        <f>'Request #24'!U61</f>
        <v>0</v>
      </c>
      <c r="V61" s="87">
        <f>'Request #24'!V61</f>
        <v>0</v>
      </c>
      <c r="W61" s="88">
        <f>SUMIF(F7:F79,50,E7:E79)</f>
        <v>0</v>
      </c>
      <c r="X61" s="88">
        <f>'Request #24'!Y61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#24'!AA61,"OK","Alert,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#24'!V62,"OK","Send in Change Order")</f>
        <v>OK</v>
      </c>
      <c r="S62" s="85">
        <v>51</v>
      </c>
      <c r="T62" s="86" t="str">
        <f>'Request #24'!T62</f>
        <v>Other Fees</v>
      </c>
      <c r="U62" s="218">
        <f>'Request #24'!U62</f>
        <v>0</v>
      </c>
      <c r="V62" s="87">
        <f>'Request #24'!V62</f>
        <v>0</v>
      </c>
      <c r="W62" s="88">
        <f>SUMIF(F7:F79,51,E7:E79)</f>
        <v>0</v>
      </c>
      <c r="X62" s="88">
        <f>'Request #24'!Y62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#24'!AA62,"OK","Alert,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#24'!V63,"OK","Send in Change Order")</f>
        <v>OK</v>
      </c>
      <c r="S63" s="85">
        <v>52</v>
      </c>
      <c r="T63" s="86" t="str">
        <f>'Request #24'!T63</f>
        <v>Worked Performed by Owner</v>
      </c>
      <c r="U63" s="218">
        <f>'Request #24'!U63</f>
        <v>0</v>
      </c>
      <c r="V63" s="87">
        <f>'Request #24'!V63</f>
        <v>0</v>
      </c>
      <c r="W63" s="88">
        <f>SUMIF(F7:F79,52,E7:E79)</f>
        <v>0</v>
      </c>
      <c r="X63" s="88">
        <f>'Request #24'!Y63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#24'!AA63,"OK","Alert,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#24'!V64,"OK","Send in Change Order")</f>
        <v>OK</v>
      </c>
      <c r="S64" s="85">
        <v>53</v>
      </c>
      <c r="T64" s="86" t="str">
        <f>'Request #24'!T64</f>
        <v>Equipment (Major)</v>
      </c>
      <c r="U64" s="218">
        <f>'Request #24'!U64</f>
        <v>0</v>
      </c>
      <c r="V64" s="87">
        <f>'Request #24'!V64</f>
        <v>0</v>
      </c>
      <c r="W64" s="88">
        <f>SUMIF(F7:F79,53,E7:E79)</f>
        <v>0</v>
      </c>
      <c r="X64" s="88">
        <f>'Request #24'!Y64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#24'!AA64,"OK","Alert,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#24'!V65,"OK","Send in Change Order")</f>
        <v>OK</v>
      </c>
      <c r="S65" s="85">
        <v>54</v>
      </c>
      <c r="T65" s="102" t="s">
        <v>90</v>
      </c>
      <c r="U65" s="218">
        <f>'Request #24'!U65</f>
        <v>0</v>
      </c>
      <c r="V65" s="87">
        <f>'Request #24'!V65</f>
        <v>0</v>
      </c>
      <c r="W65" s="104"/>
      <c r="X65" s="88">
        <f>'Request #24'!Y65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#24'!AA65,"OK","Alert,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#24'!V66,"OK","Send in Change Order")</f>
        <v>OK</v>
      </c>
      <c r="S66" s="85">
        <v>55</v>
      </c>
      <c r="T66" s="86"/>
      <c r="U66" s="218">
        <f>'Request #24'!U66</f>
        <v>0</v>
      </c>
      <c r="V66" s="87">
        <f>'Request #24'!V66</f>
        <v>0</v>
      </c>
      <c r="W66" s="88">
        <f>SUMIF(F7:F79,55,E7:E79)</f>
        <v>0</v>
      </c>
      <c r="X66" s="88">
        <f>'Request #24'!Y66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#24'!AA66,"OK","Alert,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#24'!V67,"OK","Send in Change Order")</f>
        <v>OK</v>
      </c>
      <c r="S67" s="85">
        <v>56</v>
      </c>
      <c r="T67" s="79"/>
      <c r="U67" s="218">
        <f>'Request #24'!U67</f>
        <v>0</v>
      </c>
      <c r="V67" s="87">
        <f>'Request #24'!V67</f>
        <v>0</v>
      </c>
      <c r="W67" s="88">
        <f>SUMIF(F7:F79,56,E7:E79)</f>
        <v>0</v>
      </c>
      <c r="X67" s="88">
        <f>'Request #23'!Y67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#24'!AA67,"OK","Alert,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#24'!V68,"OK","Send in Change Order")</f>
        <v>OK</v>
      </c>
      <c r="S68" s="316" t="s">
        <v>60</v>
      </c>
      <c r="T68" s="317"/>
      <c r="U68" s="224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#24'!AA68,"OK","Alert,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25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226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27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28" t="e">
        <f>V72/V68</f>
        <v>#DIV/0!</v>
      </c>
      <c r="V72" s="88">
        <f>V68-V74-V73</f>
        <v>0</v>
      </c>
      <c r="W72" s="87">
        <v>0</v>
      </c>
      <c r="X72" s="168">
        <f>'Request #24'!Y72</f>
        <v>0</v>
      </c>
      <c r="Y72" s="168">
        <f t="shared" ref="Y72:Y73" si="8">W72+X72</f>
        <v>0</v>
      </c>
      <c r="Z72" s="16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#24'!V73,"OK","Send in Change Order")</f>
        <v>OK</v>
      </c>
      <c r="S73" s="86" t="s">
        <v>95</v>
      </c>
      <c r="T73" s="114"/>
      <c r="U73" s="228" t="e">
        <f>V73/V68</f>
        <v>#DIV/0!</v>
      </c>
      <c r="V73" s="87">
        <f>'Request #24'!V73</f>
        <v>0</v>
      </c>
      <c r="W73" s="87">
        <v>0</v>
      </c>
      <c r="X73" s="168">
        <f>'Request #24'!Y73</f>
        <v>0</v>
      </c>
      <c r="Y73" s="168">
        <f t="shared" si="8"/>
        <v>0</v>
      </c>
      <c r="Z73" s="16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#24'!V74,"OK","Send in Change Order")</f>
        <v>OK</v>
      </c>
      <c r="S74" s="120" t="s">
        <v>96</v>
      </c>
      <c r="T74" s="121"/>
      <c r="U74" s="228" t="e">
        <f>V74/V68</f>
        <v>#DIV/0!</v>
      </c>
      <c r="V74" s="87">
        <f>'Request #24'!V74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221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30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30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31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221"/>
      <c r="V80" s="55"/>
      <c r="W80" s="55"/>
      <c r="X80" s="138"/>
      <c r="Y80" s="45" t="s">
        <v>108</v>
      </c>
      <c r="Z80" s="43"/>
      <c r="AA80" s="88">
        <f>'Request #24'!AA79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25</v>
      </c>
      <c r="V87" s="55"/>
      <c r="W87" s="55"/>
      <c r="X87" s="138"/>
      <c r="Y87" s="45" t="s">
        <v>108</v>
      </c>
      <c r="Z87" s="43"/>
      <c r="AA87" s="88">
        <f>'Request #24'!AA86</f>
        <v>0</v>
      </c>
      <c r="AB87" s="110"/>
    </row>
    <row r="88" spans="1:28" ht="30" customHeight="1" thickBot="1" x14ac:dyDescent="0.35">
      <c r="S88" s="55"/>
      <c r="T88" s="55"/>
      <c r="U88" s="221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221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221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221"/>
      <c r="V91" s="55"/>
      <c r="W91" s="55"/>
      <c r="X91" s="55"/>
    </row>
    <row r="92" spans="1:28" ht="30" customHeight="1" x14ac:dyDescent="0.3">
      <c r="S92" s="55"/>
      <c r="T92" s="55"/>
      <c r="U92" s="221"/>
      <c r="V92" s="55"/>
      <c r="W92" s="55"/>
      <c r="X92" s="55"/>
    </row>
    <row r="93" spans="1:28" ht="30" customHeight="1" x14ac:dyDescent="0.3">
      <c r="S93" s="55"/>
      <c r="T93" s="55"/>
      <c r="U93" s="221"/>
      <c r="V93" s="55"/>
      <c r="W93" s="55"/>
      <c r="X93" s="55"/>
    </row>
    <row r="94" spans="1:28" ht="30" customHeight="1" x14ac:dyDescent="0.3">
      <c r="S94" s="55"/>
      <c r="T94" s="55"/>
      <c r="U94" s="221"/>
      <c r="V94" s="55"/>
      <c r="W94" s="55"/>
      <c r="X94" s="55"/>
    </row>
    <row r="95" spans="1:28" ht="30" customHeight="1" x14ac:dyDescent="0.3">
      <c r="S95" s="55"/>
      <c r="T95" s="55"/>
      <c r="U95" s="221"/>
      <c r="V95" s="55"/>
      <c r="W95" s="55"/>
      <c r="X95" s="55"/>
    </row>
    <row r="96" spans="1:28" ht="30" customHeight="1" x14ac:dyDescent="0.3">
      <c r="S96" s="55"/>
      <c r="T96" s="55"/>
      <c r="U96" s="221"/>
      <c r="V96" s="55"/>
      <c r="W96" s="55"/>
      <c r="X96" s="55"/>
    </row>
    <row r="97" spans="15:24" ht="30" customHeight="1" x14ac:dyDescent="0.3">
      <c r="S97" s="55"/>
      <c r="T97" s="55"/>
      <c r="U97" s="221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dMxC6qfG8uHQVL0+OKoOqeLUJ5mKBa97ZSRA6Z+7ZVUbiUOnCIGQWSu5O8RY4Andw5WjMyAMOQRvagfmrWLZ0w==" saltValue="vIz3+mCnxkkg4WcxfFMPOA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215" priority="9" operator="containsText" text="Change">
      <formula>NOT(ISERROR(SEARCH("Change",R1)))</formula>
    </cfRule>
  </conditionalFormatting>
  <conditionalFormatting sqref="R45:R48">
    <cfRule type="cellIs" dxfId="214" priority="7" operator="equal">
      <formula>"Send in Change Order"</formula>
    </cfRule>
  </conditionalFormatting>
  <conditionalFormatting sqref="W68">
    <cfRule type="cellIs" dxfId="213" priority="2" operator="notEqual">
      <formula>$E$82</formula>
    </cfRule>
    <cfRule type="cellIs" dxfId="212" priority="3" operator="greaterThan">
      <formula>$E$82</formula>
    </cfRule>
    <cfRule type="cellIs" dxfId="211" priority="4" operator="notEqual">
      <formula>$E$82</formula>
    </cfRule>
  </conditionalFormatting>
  <conditionalFormatting sqref="Z12:Z44">
    <cfRule type="cellIs" dxfId="210" priority="8" operator="lessThan">
      <formula>0</formula>
    </cfRule>
  </conditionalFormatting>
  <conditionalFormatting sqref="Z49:Z68">
    <cfRule type="cellIs" dxfId="209" priority="5" operator="lessThan">
      <formula>0</formula>
    </cfRule>
  </conditionalFormatting>
  <conditionalFormatting sqref="AA68">
    <cfRule type="cellIs" dxfId="208" priority="1" operator="notEqual">
      <formula>$O$82</formula>
    </cfRule>
  </conditionalFormatting>
  <conditionalFormatting sqref="AB45:AB48">
    <cfRule type="containsText" dxfId="207" priority="6" operator="containsText" text="Alert">
      <formula>NOT(ISERROR(SEARCH("Alert",AB45)))</formula>
    </cfRule>
  </conditionalFormatting>
  <conditionalFormatting sqref="AB62">
    <cfRule type="containsText" dxfId="206" priority="10" operator="containsText" text="Alert">
      <formula>NOT(ISERROR(SEARCH("Alert",AB62)))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2" manualBreakCount="12">
    <brk id="6" max="88" man="1"/>
    <brk id="10" max="1048575" man="1"/>
    <brk id="16" max="88" man="1"/>
    <brk id="18" max="1048575" man="1"/>
    <brk id="27" max="88" man="1"/>
    <brk id="29" max="1048575" man="1"/>
    <brk id="51" max="1048575" man="1"/>
    <brk id="52" max="1048575" man="1"/>
    <brk id="58" max="1048575" man="1"/>
    <brk id="101" max="1048575" man="1"/>
    <brk id="110" max="1048575" man="1"/>
    <brk id="11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664062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21875" style="50" customWidth="1"/>
    <col min="19" max="19" width="5.88671875" style="39" customWidth="1"/>
    <col min="20" max="20" width="30.5546875" style="39" customWidth="1"/>
    <col min="21" max="21" width="17.77734375" style="219" customWidth="1"/>
    <col min="22" max="27" width="18.88671875" style="39" customWidth="1"/>
    <col min="28" max="28" width="26.4414062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220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26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220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220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221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22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ref="G9:I24" si="2">S14</f>
        <v>3</v>
      </c>
      <c r="H9" s="205" t="str">
        <f t="shared" si="2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23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26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2"/>
        <v>4</v>
      </c>
      <c r="H10" s="205" t="str">
        <f t="shared" si="2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2"/>
        <v>5</v>
      </c>
      <c r="H11" s="205" t="str">
        <f t="shared" si="2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218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2"/>
        <v>6</v>
      </c>
      <c r="H12" s="205" t="str">
        <f t="shared" si="2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#25'!V12,"OK","Send in Change Order")</f>
        <v>OK</v>
      </c>
      <c r="S12" s="85">
        <v>1</v>
      </c>
      <c r="T12" s="86" t="str">
        <f>'Request #25'!T12</f>
        <v>Land/Site Grading &amp; Improv.</v>
      </c>
      <c r="U12" s="218">
        <f>'Request #25'!U12</f>
        <v>0</v>
      </c>
      <c r="V12" s="87">
        <f>'Request #25'!V12</f>
        <v>0</v>
      </c>
      <c r="W12" s="88">
        <f>SUMIF(F7:F79,1,E7:E79)</f>
        <v>0</v>
      </c>
      <c r="X12" s="88">
        <f>'Request #25'!Y12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#25'!AA12,"OK","Alert,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2"/>
        <v>7</v>
      </c>
      <c r="H13" s="205" t="str">
        <f t="shared" si="2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#25'!V13,"OK","Send in Change Order")</f>
        <v>OK</v>
      </c>
      <c r="S13" s="85">
        <v>2</v>
      </c>
      <c r="T13" s="86" t="str">
        <f>'Request #25'!T13</f>
        <v xml:space="preserve">General Contract </v>
      </c>
      <c r="U13" s="218">
        <f>'Request #25'!U13</f>
        <v>0</v>
      </c>
      <c r="V13" s="87">
        <f>'Request #25'!V13</f>
        <v>0</v>
      </c>
      <c r="W13" s="88">
        <f>SUMIF(F7:F79,2,E7:E79)</f>
        <v>0</v>
      </c>
      <c r="X13" s="88">
        <f>'Request #25'!Y13</f>
        <v>0</v>
      </c>
      <c r="Y13" s="88">
        <f t="shared" ref="Y13:Y67" si="3">W13+X13</f>
        <v>0</v>
      </c>
      <c r="Z13" s="88">
        <f t="shared" ref="Z13:Z67" si="4">V13-Y13</f>
        <v>0</v>
      </c>
      <c r="AA13" s="88">
        <f>SUMIF(P7:P79,2,O7:O79)</f>
        <v>0</v>
      </c>
      <c r="AB13" s="50" t="str">
        <f>IF(W13&gt;='Request #25'!AA13,"OK","Alert,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2"/>
        <v>8</v>
      </c>
      <c r="H14" s="205" t="str">
        <f t="shared" si="2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#25'!V14,"OK","Send in Change Order")</f>
        <v>OK</v>
      </c>
      <c r="S14" s="85">
        <v>3</v>
      </c>
      <c r="T14" s="86" t="str">
        <f>'Request #25'!T14</f>
        <v>Designer Contract</v>
      </c>
      <c r="U14" s="218">
        <f>'Request #25'!U14</f>
        <v>0</v>
      </c>
      <c r="V14" s="87">
        <f>'Request #25'!V14</f>
        <v>0</v>
      </c>
      <c r="W14" s="88">
        <f>SUMIF(F7:F79,3,E7:E79)</f>
        <v>0</v>
      </c>
      <c r="X14" s="88">
        <f>'Request #25'!Y14</f>
        <v>0</v>
      </c>
      <c r="Y14" s="88">
        <f t="shared" si="3"/>
        <v>0</v>
      </c>
      <c r="Z14" s="88">
        <f t="shared" si="4"/>
        <v>0</v>
      </c>
      <c r="AA14" s="88">
        <f>SUMIF(P7:P79,3,O7:O79)</f>
        <v>0</v>
      </c>
      <c r="AB14" s="50" t="str">
        <f>IF(W14&gt;='Request #25'!AA14,"OK","Alert,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2"/>
        <v>9</v>
      </c>
      <c r="H15" s="205" t="str">
        <f t="shared" si="2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#25'!V15,"OK","Send in Change Order")</f>
        <v>OK</v>
      </c>
      <c r="S15" s="85">
        <v>4</v>
      </c>
      <c r="T15" s="86" t="str">
        <f>'Request #25'!T15</f>
        <v>Designer Reimbursables</v>
      </c>
      <c r="U15" s="218">
        <f>'Request #25'!U15</f>
        <v>0</v>
      </c>
      <c r="V15" s="87">
        <f>'Request #25'!V15</f>
        <v>0</v>
      </c>
      <c r="W15" s="88">
        <f>SUMIF(F7:F79,4,E7:E79)</f>
        <v>0</v>
      </c>
      <c r="X15" s="88">
        <f>'Request #25'!Y15</f>
        <v>0</v>
      </c>
      <c r="Y15" s="88">
        <f t="shared" si="3"/>
        <v>0</v>
      </c>
      <c r="Z15" s="88">
        <f t="shared" si="4"/>
        <v>0</v>
      </c>
      <c r="AA15" s="88">
        <f>SUMIF(P7:P79,4,O7:O79)</f>
        <v>0</v>
      </c>
      <c r="AB15" s="50" t="str">
        <f>IF(W15&gt;='Request #25'!AA15,"OK","Alert,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2"/>
        <v>10</v>
      </c>
      <c r="H16" s="205" t="str">
        <f t="shared" si="2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#25'!V16,"OK","Send in Change Order")</f>
        <v>OK</v>
      </c>
      <c r="S16" s="85">
        <v>5</v>
      </c>
      <c r="T16" s="86" t="str">
        <f>'Request #25'!T16</f>
        <v>Other Contracts</v>
      </c>
      <c r="U16" s="218">
        <f>'Request #25'!U16</f>
        <v>0</v>
      </c>
      <c r="V16" s="87">
        <f>'Request #25'!V16</f>
        <v>0</v>
      </c>
      <c r="W16" s="88">
        <f>SUMIF(F7:F79,5,E7:E79)</f>
        <v>0</v>
      </c>
      <c r="X16" s="88">
        <f>'Request #25'!Y16</f>
        <v>0</v>
      </c>
      <c r="Y16" s="88">
        <f t="shared" si="3"/>
        <v>0</v>
      </c>
      <c r="Z16" s="88">
        <f t="shared" si="4"/>
        <v>0</v>
      </c>
      <c r="AA16" s="88">
        <f>SUMIF(P7:P79,5,O7:O79)</f>
        <v>0</v>
      </c>
      <c r="AB16" s="50" t="str">
        <f>IF(W16&gt;='Request #25'!AA16,"OK","Alert,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2"/>
        <v>11</v>
      </c>
      <c r="H17" s="205" t="str">
        <f t="shared" si="2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#25'!V17,"OK","Send in Change Order")</f>
        <v>OK</v>
      </c>
      <c r="S17" s="85">
        <v>6</v>
      </c>
      <c r="T17" s="86" t="str">
        <f>'Request #25'!T17</f>
        <v>Other Contracts</v>
      </c>
      <c r="U17" s="218">
        <f>'Request #25'!U17</f>
        <v>0</v>
      </c>
      <c r="V17" s="87">
        <f>'Request #25'!V17</f>
        <v>0</v>
      </c>
      <c r="W17" s="88">
        <f>SUMIF(F7:F79,6,E7:E79)</f>
        <v>0</v>
      </c>
      <c r="X17" s="88">
        <f>'Request #25'!Y17</f>
        <v>0</v>
      </c>
      <c r="Y17" s="88">
        <f t="shared" si="3"/>
        <v>0</v>
      </c>
      <c r="Z17" s="88">
        <f t="shared" si="4"/>
        <v>0</v>
      </c>
      <c r="AA17" s="88">
        <f>SUMIF(P7:P79,6,O7:O79)</f>
        <v>0</v>
      </c>
      <c r="AB17" s="50" t="str">
        <f>IF(W17&gt;='Request #25'!AA17,"OK","Alert,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2"/>
        <v>12</v>
      </c>
      <c r="H18" s="205" t="str">
        <f t="shared" si="2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#25'!V18,"OK","Send in Change Order")</f>
        <v>OK</v>
      </c>
      <c r="S18" s="85">
        <v>7</v>
      </c>
      <c r="T18" s="86" t="str">
        <f>'Request #25'!T18</f>
        <v>Other Contracts</v>
      </c>
      <c r="U18" s="218">
        <f>'Request #25'!U18</f>
        <v>0</v>
      </c>
      <c r="V18" s="87">
        <f>'Request #25'!V18</f>
        <v>0</v>
      </c>
      <c r="W18" s="88">
        <f>SUMIF(F7:F79,7,E7:E79)</f>
        <v>0</v>
      </c>
      <c r="X18" s="88">
        <f>'Request #25'!Y18</f>
        <v>0</v>
      </c>
      <c r="Y18" s="88">
        <f t="shared" si="3"/>
        <v>0</v>
      </c>
      <c r="Z18" s="88">
        <f t="shared" si="4"/>
        <v>0</v>
      </c>
      <c r="AA18" s="88">
        <f>SUMIF(P7:P79,7,O7:O79)</f>
        <v>0</v>
      </c>
      <c r="AB18" s="50" t="str">
        <f>IF(W18&gt;='Request #25'!AA18,"OK","Alert,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2"/>
        <v>13</v>
      </c>
      <c r="H19" s="205" t="str">
        <f t="shared" si="2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#25'!V19,"OK","Send in Change Order")</f>
        <v>OK</v>
      </c>
      <c r="S19" s="85">
        <v>8</v>
      </c>
      <c r="T19" s="86" t="str">
        <f>'Request #25'!T19</f>
        <v>Other Contracts</v>
      </c>
      <c r="U19" s="218">
        <f>'Request #25'!U19</f>
        <v>0</v>
      </c>
      <c r="V19" s="87">
        <f>'Request #25'!V19</f>
        <v>0</v>
      </c>
      <c r="W19" s="88">
        <f>SUMIF(F7:F79,8,E7:E79)</f>
        <v>0</v>
      </c>
      <c r="X19" s="88">
        <f>'Request #25'!Y19</f>
        <v>0</v>
      </c>
      <c r="Y19" s="88">
        <f t="shared" si="3"/>
        <v>0</v>
      </c>
      <c r="Z19" s="88">
        <f t="shared" si="4"/>
        <v>0</v>
      </c>
      <c r="AA19" s="88">
        <f>SUMIF(P7:P79,8,O7:O79)</f>
        <v>0</v>
      </c>
      <c r="AB19" s="50" t="str">
        <f>IF(W19&gt;='Request #25'!AA19,"OK","Alert,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2"/>
        <v>14</v>
      </c>
      <c r="H20" s="205" t="str">
        <f t="shared" si="2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#25'!V20,"OK","Send in Change Order")</f>
        <v>OK</v>
      </c>
      <c r="S20" s="85">
        <v>9</v>
      </c>
      <c r="T20" s="86" t="str">
        <f>'Request #25'!T20</f>
        <v>Other Contracts</v>
      </c>
      <c r="U20" s="218">
        <f>'Request #25'!U20</f>
        <v>0</v>
      </c>
      <c r="V20" s="87">
        <f>'Request #25'!V20</f>
        <v>0</v>
      </c>
      <c r="W20" s="88">
        <f>SUMIF(F7:F79,9,E7:E79)</f>
        <v>0</v>
      </c>
      <c r="X20" s="88">
        <f>'Request #25'!Y20</f>
        <v>0</v>
      </c>
      <c r="Y20" s="88">
        <f t="shared" si="3"/>
        <v>0</v>
      </c>
      <c r="Z20" s="88">
        <f t="shared" si="4"/>
        <v>0</v>
      </c>
      <c r="AA20" s="88">
        <f>SUMIF(P7:P79,9,O7:O79)</f>
        <v>0</v>
      </c>
      <c r="AB20" s="50" t="str">
        <f>IF(W20&gt;='Request #25'!AA20,"OK","Alert,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2"/>
        <v>15</v>
      </c>
      <c r="H21" s="205" t="str">
        <f t="shared" si="2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#25'!V21,"OK","Send in Change Order")</f>
        <v>OK</v>
      </c>
      <c r="S21" s="85">
        <v>10</v>
      </c>
      <c r="T21" s="86" t="str">
        <f>'Request #25'!T21</f>
        <v>Other Contracts</v>
      </c>
      <c r="U21" s="218">
        <f>'Request #25'!U21</f>
        <v>0</v>
      </c>
      <c r="V21" s="87">
        <f>'Request #25'!V21</f>
        <v>0</v>
      </c>
      <c r="W21" s="88">
        <f>SUMIF(F7:F79,10,E7:E79)</f>
        <v>0</v>
      </c>
      <c r="X21" s="88">
        <f>'Request #25'!Y21</f>
        <v>0</v>
      </c>
      <c r="Y21" s="88">
        <f t="shared" si="3"/>
        <v>0</v>
      </c>
      <c r="Z21" s="88">
        <f t="shared" si="4"/>
        <v>0</v>
      </c>
      <c r="AA21" s="88">
        <f>SUMIF(P7:P79,10,O7:O79)</f>
        <v>0</v>
      </c>
      <c r="AB21" s="50" t="str">
        <f>IF(W21&gt;='Request #25'!AA21,"OK","Alert,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2"/>
        <v>16</v>
      </c>
      <c r="H22" s="205" t="str">
        <f t="shared" si="2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#25'!V22,"OK","Send in Change Order")</f>
        <v>OK</v>
      </c>
      <c r="S22" s="85">
        <v>11</v>
      </c>
      <c r="T22" s="86" t="str">
        <f>'Request #25'!T22</f>
        <v>Other Contracts</v>
      </c>
      <c r="U22" s="218">
        <f>'Request #25'!U22</f>
        <v>0</v>
      </c>
      <c r="V22" s="87">
        <f>'Request #25'!V22</f>
        <v>0</v>
      </c>
      <c r="W22" s="88">
        <f>SUMIF(F7:F79,11,E7:E79)</f>
        <v>0</v>
      </c>
      <c r="X22" s="88">
        <f>'Request #25'!Y22</f>
        <v>0</v>
      </c>
      <c r="Y22" s="88">
        <f t="shared" si="3"/>
        <v>0</v>
      </c>
      <c r="Z22" s="88">
        <f t="shared" si="4"/>
        <v>0</v>
      </c>
      <c r="AA22" s="88">
        <f>SUMIF(P7:P79,11,O7:O79)</f>
        <v>0</v>
      </c>
      <c r="AB22" s="50" t="str">
        <f>IF(W22&gt;='Request #25'!AA22,"OK","Alert,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2"/>
        <v>17</v>
      </c>
      <c r="H23" s="205" t="str">
        <f t="shared" si="2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#25'!V23,"OK","Send in Change Order")</f>
        <v>OK</v>
      </c>
      <c r="S23" s="85">
        <v>12</v>
      </c>
      <c r="T23" s="86" t="str">
        <f>'Request #25'!T23</f>
        <v>Other Contracts</v>
      </c>
      <c r="U23" s="218">
        <f>'Request #25'!U23</f>
        <v>0</v>
      </c>
      <c r="V23" s="87">
        <f>'Request #25'!V23</f>
        <v>0</v>
      </c>
      <c r="W23" s="88">
        <f>SUMIF(F7:F79,12,E7:E79)</f>
        <v>0</v>
      </c>
      <c r="X23" s="88">
        <f>'Request #25'!Y23</f>
        <v>0</v>
      </c>
      <c r="Y23" s="88">
        <f t="shared" si="3"/>
        <v>0</v>
      </c>
      <c r="Z23" s="88">
        <f t="shared" si="4"/>
        <v>0</v>
      </c>
      <c r="AA23" s="88">
        <f>SUMIF(P7:P79,12,O7:O79)</f>
        <v>0</v>
      </c>
      <c r="AB23" s="50" t="str">
        <f>IF(W23&gt;='Request #25'!AA23,"OK","Alert,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2"/>
        <v>18</v>
      </c>
      <c r="H24" s="205" t="str">
        <f t="shared" si="2"/>
        <v>Other Contracts</v>
      </c>
      <c r="I24" s="247">
        <f t="shared" si="2"/>
        <v>0</v>
      </c>
      <c r="K24" s="159"/>
      <c r="L24" s="157"/>
      <c r="M24" s="157"/>
      <c r="N24" s="154"/>
      <c r="O24" s="155"/>
      <c r="P24" s="158"/>
      <c r="R24" s="50" t="str">
        <f>IF(V24='Request #25'!V24,"OK","Send in Change Order")</f>
        <v>OK</v>
      </c>
      <c r="S24" s="85">
        <v>13</v>
      </c>
      <c r="T24" s="86" t="str">
        <f>'Request #25'!T24</f>
        <v>Other Contracts</v>
      </c>
      <c r="U24" s="218">
        <f>'Request #25'!U24</f>
        <v>0</v>
      </c>
      <c r="V24" s="87">
        <f>'Request #25'!V24</f>
        <v>0</v>
      </c>
      <c r="W24" s="88">
        <f>SUMIF(F7:F79,13,E7:E79)</f>
        <v>0</v>
      </c>
      <c r="X24" s="88">
        <f>'Request #25'!Y24</f>
        <v>0</v>
      </c>
      <c r="Y24" s="88">
        <f t="shared" si="3"/>
        <v>0</v>
      </c>
      <c r="Z24" s="88">
        <f t="shared" si="4"/>
        <v>0</v>
      </c>
      <c r="AA24" s="88">
        <f>SUMIF(P7:P79,13,O7:O79)</f>
        <v>0</v>
      </c>
      <c r="AB24" s="50" t="str">
        <f>IF(W24&gt;='Request #25'!AA24,"OK","Alert,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5">S30</f>
        <v>19</v>
      </c>
      <c r="H25" s="205" t="str">
        <f t="shared" si="5"/>
        <v>Other Contracts</v>
      </c>
      <c r="I25" s="247">
        <f t="shared" si="5"/>
        <v>0</v>
      </c>
      <c r="K25" s="159"/>
      <c r="L25" s="157"/>
      <c r="M25" s="157"/>
      <c r="N25" s="154"/>
      <c r="O25" s="155"/>
      <c r="P25" s="158"/>
      <c r="R25" s="50" t="str">
        <f>IF(V25='Request #25'!V25,"OK","Send in Change Order")</f>
        <v>OK</v>
      </c>
      <c r="S25" s="85">
        <v>14</v>
      </c>
      <c r="T25" s="86" t="str">
        <f>'Request #25'!T25</f>
        <v>Other Contracts</v>
      </c>
      <c r="U25" s="218">
        <f>'Request #25'!U25</f>
        <v>0</v>
      </c>
      <c r="V25" s="87">
        <f>'Request #25'!V25</f>
        <v>0</v>
      </c>
      <c r="W25" s="88">
        <f>SUMIF(F7:F79,14,E7:E79)</f>
        <v>0</v>
      </c>
      <c r="X25" s="88">
        <f>'Request #25'!Y25</f>
        <v>0</v>
      </c>
      <c r="Y25" s="88">
        <f t="shared" si="3"/>
        <v>0</v>
      </c>
      <c r="Z25" s="88">
        <f t="shared" si="4"/>
        <v>0</v>
      </c>
      <c r="AA25" s="88">
        <f>SUMIF(P7:P79,14,O7:O79)</f>
        <v>0</v>
      </c>
      <c r="AB25" s="50" t="str">
        <f>IF(W25&gt;='Request #25'!AA25,"OK","Alert,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5"/>
        <v>20</v>
      </c>
      <c r="H26" s="205" t="str">
        <f t="shared" si="5"/>
        <v>Other Contracts</v>
      </c>
      <c r="I26" s="247">
        <f t="shared" si="5"/>
        <v>0</v>
      </c>
      <c r="K26" s="159"/>
      <c r="L26" s="157"/>
      <c r="M26" s="157"/>
      <c r="N26" s="154"/>
      <c r="O26" s="155"/>
      <c r="P26" s="158"/>
      <c r="R26" s="50" t="str">
        <f>IF(V26='Request #25'!V26,"OK","Send in Change Order")</f>
        <v>OK</v>
      </c>
      <c r="S26" s="85">
        <v>15</v>
      </c>
      <c r="T26" s="86" t="str">
        <f>'Request #25'!T26</f>
        <v>Other Contracts</v>
      </c>
      <c r="U26" s="218">
        <f>'Request #25'!U26</f>
        <v>0</v>
      </c>
      <c r="V26" s="87">
        <f>'Request #25'!V26</f>
        <v>0</v>
      </c>
      <c r="W26" s="88">
        <f>SUMIF(F7:F79,15,E7:E79)</f>
        <v>0</v>
      </c>
      <c r="X26" s="88">
        <f>'Request #25'!Y26</f>
        <v>0</v>
      </c>
      <c r="Y26" s="88">
        <f t="shared" si="3"/>
        <v>0</v>
      </c>
      <c r="Z26" s="88">
        <f t="shared" si="4"/>
        <v>0</v>
      </c>
      <c r="AA26" s="88">
        <f>SUMIF(P7:P79,15,O7:O79)</f>
        <v>0</v>
      </c>
      <c r="AB26" s="50" t="str">
        <f>IF(W26&gt;='Request #25'!AA26,"OK","Alert,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5"/>
        <v>21</v>
      </c>
      <c r="H27" s="205" t="str">
        <f t="shared" si="5"/>
        <v>Other Contracts</v>
      </c>
      <c r="I27" s="247">
        <f t="shared" si="5"/>
        <v>0</v>
      </c>
      <c r="K27" s="159"/>
      <c r="L27" s="157"/>
      <c r="M27" s="157"/>
      <c r="N27" s="154"/>
      <c r="O27" s="155"/>
      <c r="P27" s="158"/>
      <c r="R27" s="50" t="str">
        <f>IF(V27='Request #25'!V27,"OK","Send in Change Order")</f>
        <v>OK</v>
      </c>
      <c r="S27" s="85">
        <v>16</v>
      </c>
      <c r="T27" s="86" t="str">
        <f>'Request #25'!T27</f>
        <v>Other Contracts</v>
      </c>
      <c r="U27" s="218">
        <f>'Request #25'!U27</f>
        <v>0</v>
      </c>
      <c r="V27" s="87">
        <f>'Request #25'!V27</f>
        <v>0</v>
      </c>
      <c r="W27" s="88">
        <f>SUMIF(F7:F79,16,E7:E79)</f>
        <v>0</v>
      </c>
      <c r="X27" s="88">
        <f>'Request #25'!Y27</f>
        <v>0</v>
      </c>
      <c r="Y27" s="88">
        <f t="shared" si="3"/>
        <v>0</v>
      </c>
      <c r="Z27" s="88">
        <f t="shared" si="4"/>
        <v>0</v>
      </c>
      <c r="AA27" s="88">
        <f>SUMIF(P7:P79,16,O7:O79)</f>
        <v>0</v>
      </c>
      <c r="AB27" s="50" t="str">
        <f>IF(W27&gt;='Request #25'!AA27,"OK","Alert,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5"/>
        <v>22</v>
      </c>
      <c r="H28" s="205" t="str">
        <f t="shared" si="5"/>
        <v>Other Contracts</v>
      </c>
      <c r="I28" s="247">
        <f t="shared" si="5"/>
        <v>0</v>
      </c>
      <c r="K28" s="159"/>
      <c r="L28" s="157"/>
      <c r="M28" s="157"/>
      <c r="N28" s="154"/>
      <c r="O28" s="155"/>
      <c r="P28" s="158"/>
      <c r="R28" s="50" t="str">
        <f>IF(V28='Request #25'!V28,"OK","Send in Change Order")</f>
        <v>OK</v>
      </c>
      <c r="S28" s="85">
        <v>17</v>
      </c>
      <c r="T28" s="86" t="str">
        <f>'Request #25'!T28</f>
        <v>Other Contracts</v>
      </c>
      <c r="U28" s="218">
        <f>'Request #25'!U28</f>
        <v>0</v>
      </c>
      <c r="V28" s="87">
        <f>'Request #25'!V28</f>
        <v>0</v>
      </c>
      <c r="W28" s="88">
        <f>SUMIF(F7:F79,17,E7:E79)</f>
        <v>0</v>
      </c>
      <c r="X28" s="88">
        <f>'Request #25'!Y28</f>
        <v>0</v>
      </c>
      <c r="Y28" s="88">
        <f t="shared" si="3"/>
        <v>0</v>
      </c>
      <c r="Z28" s="88">
        <f t="shared" si="4"/>
        <v>0</v>
      </c>
      <c r="AA28" s="88">
        <f>SUMIF(P7:P79,17,O7:O79)</f>
        <v>0</v>
      </c>
      <c r="AB28" s="50" t="str">
        <f>IF(W28&gt;='Request #25'!AA28,"OK","Alert,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5"/>
        <v>23</v>
      </c>
      <c r="H29" s="205" t="str">
        <f t="shared" si="5"/>
        <v>Other Contracts</v>
      </c>
      <c r="I29" s="247">
        <f t="shared" si="5"/>
        <v>0</v>
      </c>
      <c r="K29" s="159"/>
      <c r="L29" s="157"/>
      <c r="M29" s="157"/>
      <c r="N29" s="154"/>
      <c r="O29" s="155"/>
      <c r="P29" s="158"/>
      <c r="R29" s="50" t="str">
        <f>IF(V29='Request #25'!V29,"OK","Send in Change Order")</f>
        <v>OK</v>
      </c>
      <c r="S29" s="85">
        <v>18</v>
      </c>
      <c r="T29" s="86" t="str">
        <f>'Request #25'!T29</f>
        <v>Other Contracts</v>
      </c>
      <c r="U29" s="218">
        <f>'Request #25'!U29</f>
        <v>0</v>
      </c>
      <c r="V29" s="87">
        <f>'Request #25'!V29</f>
        <v>0</v>
      </c>
      <c r="W29" s="88">
        <f>SUMIF(F7:F79,18,E7:E79)</f>
        <v>0</v>
      </c>
      <c r="X29" s="88">
        <f>'Request #25'!Y29</f>
        <v>0</v>
      </c>
      <c r="Y29" s="88">
        <f t="shared" si="3"/>
        <v>0</v>
      </c>
      <c r="Z29" s="88">
        <f t="shared" si="4"/>
        <v>0</v>
      </c>
      <c r="AA29" s="88">
        <f>SUMIF(P7:P79,18,O7:O79)</f>
        <v>0</v>
      </c>
      <c r="AB29" s="50" t="str">
        <f>IF(W29&gt;='Request #25'!AA29,"OK","Alert,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5"/>
        <v>24</v>
      </c>
      <c r="H30" s="205" t="str">
        <f t="shared" si="5"/>
        <v>Other Contracts</v>
      </c>
      <c r="I30" s="247">
        <f t="shared" si="5"/>
        <v>0</v>
      </c>
      <c r="K30" s="159"/>
      <c r="L30" s="157"/>
      <c r="M30" s="157"/>
      <c r="N30" s="154"/>
      <c r="O30" s="155"/>
      <c r="P30" s="158"/>
      <c r="R30" s="50" t="str">
        <f>IF(V30='Request #25'!V30,"OK","Send in Change Order")</f>
        <v>OK</v>
      </c>
      <c r="S30" s="85">
        <v>19</v>
      </c>
      <c r="T30" s="86" t="str">
        <f>'Request #25'!T30</f>
        <v>Other Contracts</v>
      </c>
      <c r="U30" s="218">
        <f>'Request #25'!U30</f>
        <v>0</v>
      </c>
      <c r="V30" s="87">
        <f>'Request #25'!V30</f>
        <v>0</v>
      </c>
      <c r="W30" s="88">
        <f>SUMIF(F7:F79,19,E7:E79)</f>
        <v>0</v>
      </c>
      <c r="X30" s="88">
        <f>'Request #25'!Y30</f>
        <v>0</v>
      </c>
      <c r="Y30" s="88">
        <f t="shared" si="3"/>
        <v>0</v>
      </c>
      <c r="Z30" s="88">
        <f t="shared" si="4"/>
        <v>0</v>
      </c>
      <c r="AA30" s="88">
        <f>SUMIF(P7:P79,19,O7:O79)</f>
        <v>0</v>
      </c>
      <c r="AB30" s="50" t="str">
        <f>IF(W30&gt;='Request #25'!AA30,"OK","Alert,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5"/>
        <v>25</v>
      </c>
      <c r="H31" s="205" t="str">
        <f t="shared" si="5"/>
        <v>Other Contracts</v>
      </c>
      <c r="I31" s="247">
        <f t="shared" si="5"/>
        <v>0</v>
      </c>
      <c r="K31" s="159"/>
      <c r="L31" s="157"/>
      <c r="M31" s="157"/>
      <c r="N31" s="154"/>
      <c r="O31" s="155"/>
      <c r="P31" s="158"/>
      <c r="R31" s="50" t="str">
        <f>IF(V31='Request #25'!V31,"OK","Send in Change Order")</f>
        <v>OK</v>
      </c>
      <c r="S31" s="85">
        <v>20</v>
      </c>
      <c r="T31" s="86" t="str">
        <f>'Request #25'!T31</f>
        <v>Other Contracts</v>
      </c>
      <c r="U31" s="218">
        <f>'Request #25'!U31</f>
        <v>0</v>
      </c>
      <c r="V31" s="87">
        <f>'Request #25'!V31</f>
        <v>0</v>
      </c>
      <c r="W31" s="88">
        <f>SUMIF(F7:F79,20,E7:E79)</f>
        <v>0</v>
      </c>
      <c r="X31" s="88">
        <f>'Request #25'!Y31</f>
        <v>0</v>
      </c>
      <c r="Y31" s="88">
        <f t="shared" si="3"/>
        <v>0</v>
      </c>
      <c r="Z31" s="88">
        <f t="shared" si="4"/>
        <v>0</v>
      </c>
      <c r="AA31" s="88">
        <f>SUMIF(P7:P79,20,O7:O79)</f>
        <v>0</v>
      </c>
      <c r="AB31" s="50" t="str">
        <f>IF(W31&gt;='Request #25'!AA31,"OK","Alert,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5"/>
        <v>26</v>
      </c>
      <c r="H32" s="205" t="str">
        <f t="shared" si="5"/>
        <v>Other Fees</v>
      </c>
      <c r="I32" s="247">
        <f t="shared" si="5"/>
        <v>0</v>
      </c>
      <c r="K32" s="159"/>
      <c r="L32" s="157"/>
      <c r="M32" s="157"/>
      <c r="N32" s="154"/>
      <c r="O32" s="155"/>
      <c r="P32" s="158"/>
      <c r="R32" s="50" t="str">
        <f>IF(V32='Request #25'!V32,"OK","Send in Change Order")</f>
        <v>OK</v>
      </c>
      <c r="S32" s="85">
        <v>21</v>
      </c>
      <c r="T32" s="86" t="str">
        <f>'Request #25'!T32</f>
        <v>Other Contracts</v>
      </c>
      <c r="U32" s="218">
        <f>'Request #25'!U32</f>
        <v>0</v>
      </c>
      <c r="V32" s="87">
        <f>'Request #25'!V32</f>
        <v>0</v>
      </c>
      <c r="W32" s="88">
        <f>SUMIF(F7:F79,21,E7:E79)</f>
        <v>0</v>
      </c>
      <c r="X32" s="88">
        <f>'Request #25'!Y32</f>
        <v>0</v>
      </c>
      <c r="Y32" s="88">
        <f t="shared" si="3"/>
        <v>0</v>
      </c>
      <c r="Z32" s="88">
        <f t="shared" si="4"/>
        <v>0</v>
      </c>
      <c r="AA32" s="88">
        <f>SUMIF(P7:P79,21,O7:O79)</f>
        <v>0</v>
      </c>
      <c r="AB32" s="50" t="str">
        <f>IF(W32&gt;='Request #25'!AA32,"OK","Alert,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5"/>
        <v>27</v>
      </c>
      <c r="H33" s="205" t="str">
        <f t="shared" si="5"/>
        <v>Other Fees</v>
      </c>
      <c r="I33" s="247">
        <f t="shared" si="5"/>
        <v>0</v>
      </c>
      <c r="K33" s="159"/>
      <c r="L33" s="157"/>
      <c r="M33" s="157"/>
      <c r="N33" s="154"/>
      <c r="O33" s="155"/>
      <c r="P33" s="158"/>
      <c r="R33" s="50" t="str">
        <f>IF(V33='Request #25'!V33,"OK","Send in Change Order")</f>
        <v>OK</v>
      </c>
      <c r="S33" s="85">
        <v>22</v>
      </c>
      <c r="T33" s="86" t="str">
        <f>'Request #25'!T33</f>
        <v>Other Contracts</v>
      </c>
      <c r="U33" s="218">
        <f>'Request #25'!U33</f>
        <v>0</v>
      </c>
      <c r="V33" s="87">
        <f>'Request #25'!V33</f>
        <v>0</v>
      </c>
      <c r="W33" s="88">
        <f>SUMIF(F7:F79,22,E7:E79)</f>
        <v>0</v>
      </c>
      <c r="X33" s="88">
        <f>'Request #25'!Y33</f>
        <v>0</v>
      </c>
      <c r="Y33" s="88">
        <f t="shared" si="3"/>
        <v>0</v>
      </c>
      <c r="Z33" s="88">
        <f t="shared" si="4"/>
        <v>0</v>
      </c>
      <c r="AA33" s="88">
        <f>SUMIF(P7:P79,22,O7:O79)</f>
        <v>0</v>
      </c>
      <c r="AB33" s="50" t="str">
        <f>IF(W33&gt;='Request #25'!AA33,"OK","Alert,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5"/>
        <v>28</v>
      </c>
      <c r="H34" s="205" t="str">
        <f t="shared" si="5"/>
        <v>Other Fees</v>
      </c>
      <c r="I34" s="247">
        <f t="shared" si="5"/>
        <v>0</v>
      </c>
      <c r="K34" s="159"/>
      <c r="L34" s="157"/>
      <c r="M34" s="157"/>
      <c r="N34" s="154"/>
      <c r="O34" s="155"/>
      <c r="P34" s="158"/>
      <c r="R34" s="50" t="str">
        <f>IF(V34='Request #25'!V34,"OK","Send in Change Order")</f>
        <v>OK</v>
      </c>
      <c r="S34" s="85">
        <v>23</v>
      </c>
      <c r="T34" s="86" t="str">
        <f>'Request #25'!T34</f>
        <v>Other Contracts</v>
      </c>
      <c r="U34" s="218">
        <f>'Request #25'!U34</f>
        <v>0</v>
      </c>
      <c r="V34" s="87">
        <f>'Request #25'!V34</f>
        <v>0</v>
      </c>
      <c r="W34" s="88">
        <f>SUMIF(F7:F79,23,E7:E79)</f>
        <v>0</v>
      </c>
      <c r="X34" s="88">
        <f>'Request #25'!Y34</f>
        <v>0</v>
      </c>
      <c r="Y34" s="88">
        <f t="shared" si="3"/>
        <v>0</v>
      </c>
      <c r="Z34" s="88">
        <f t="shared" si="4"/>
        <v>0</v>
      </c>
      <c r="AA34" s="88">
        <f>SUMIF(P7:P79,23,O7:O79)</f>
        <v>0</v>
      </c>
      <c r="AB34" s="50" t="str">
        <f>IF(W34&gt;='Request #25'!AA34,"OK","Alert,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5"/>
        <v>29</v>
      </c>
      <c r="H35" s="205" t="str">
        <f t="shared" si="5"/>
        <v>Other Fees</v>
      </c>
      <c r="I35" s="247">
        <f t="shared" si="5"/>
        <v>0</v>
      </c>
      <c r="K35" s="159"/>
      <c r="L35" s="157"/>
      <c r="M35" s="157"/>
      <c r="N35" s="154"/>
      <c r="O35" s="155"/>
      <c r="P35" s="158"/>
      <c r="R35" s="50" t="str">
        <f>IF(V35='Request #25'!V35,"OK","Send in Change Order")</f>
        <v>OK</v>
      </c>
      <c r="S35" s="85">
        <v>24</v>
      </c>
      <c r="T35" s="86" t="str">
        <f>'Request #25'!T35</f>
        <v>Other Contracts</v>
      </c>
      <c r="U35" s="218">
        <f>'Request #25'!U35</f>
        <v>0</v>
      </c>
      <c r="V35" s="87">
        <f>'Request #25'!V35</f>
        <v>0</v>
      </c>
      <c r="W35" s="88">
        <f>SUMIF(F7:F79,24,E7:E79)</f>
        <v>0</v>
      </c>
      <c r="X35" s="88">
        <f>'Request #25'!Y35</f>
        <v>0</v>
      </c>
      <c r="Y35" s="88">
        <f t="shared" si="3"/>
        <v>0</v>
      </c>
      <c r="Z35" s="88">
        <f t="shared" si="4"/>
        <v>0</v>
      </c>
      <c r="AA35" s="88">
        <f>SUMIF(P7:P79,24,O7:O79)</f>
        <v>0</v>
      </c>
      <c r="AB35" s="50" t="str">
        <f>IF(W35&gt;='Request #25'!AA35,"OK","Alert,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5"/>
        <v>30</v>
      </c>
      <c r="H36" s="205" t="str">
        <f t="shared" si="5"/>
        <v>Other Fees</v>
      </c>
      <c r="I36" s="247">
        <f t="shared" si="5"/>
        <v>0</v>
      </c>
      <c r="K36" s="159"/>
      <c r="L36" s="157"/>
      <c r="M36" s="157"/>
      <c r="N36" s="154"/>
      <c r="O36" s="155"/>
      <c r="P36" s="158"/>
      <c r="R36" s="50" t="str">
        <f>IF(V36='Request #25'!V36,"OK","Send in Change Order")</f>
        <v>OK</v>
      </c>
      <c r="S36" s="85">
        <v>25</v>
      </c>
      <c r="T36" s="86" t="str">
        <f>'Request #25'!T36</f>
        <v>Other Contracts</v>
      </c>
      <c r="U36" s="218">
        <f>'Request #25'!U36</f>
        <v>0</v>
      </c>
      <c r="V36" s="87">
        <f>'Request #25'!V36</f>
        <v>0</v>
      </c>
      <c r="W36" s="88">
        <f>SUMIF(F7:F79,25,E7:E79)</f>
        <v>0</v>
      </c>
      <c r="X36" s="88">
        <f>'Request #25'!Y36</f>
        <v>0</v>
      </c>
      <c r="Y36" s="88">
        <f t="shared" si="3"/>
        <v>0</v>
      </c>
      <c r="Z36" s="88">
        <f t="shared" si="4"/>
        <v>0</v>
      </c>
      <c r="AA36" s="88">
        <f>SUMIF(P7:P79,25,O7:O79)</f>
        <v>0</v>
      </c>
      <c r="AB36" s="50" t="str">
        <f>IF(W36&gt;='Request #25'!AA36,"OK","Alert,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5"/>
        <v>31</v>
      </c>
      <c r="H37" s="205" t="str">
        <f t="shared" si="5"/>
        <v>Other Fees</v>
      </c>
      <c r="I37" s="247">
        <f t="shared" si="5"/>
        <v>0</v>
      </c>
      <c r="K37" s="159"/>
      <c r="L37" s="157"/>
      <c r="M37" s="157"/>
      <c r="N37" s="154"/>
      <c r="O37" s="155"/>
      <c r="P37" s="158"/>
      <c r="R37" s="50" t="str">
        <f>IF(V37='Request #25'!V37,"OK","Send in Change Order")</f>
        <v>OK</v>
      </c>
      <c r="S37" s="85">
        <v>26</v>
      </c>
      <c r="T37" s="86" t="str">
        <f>'Request #25'!T37</f>
        <v>Other Fees</v>
      </c>
      <c r="U37" s="218">
        <f>'Request #25'!U37</f>
        <v>0</v>
      </c>
      <c r="V37" s="87">
        <f>'Request #25'!V37</f>
        <v>0</v>
      </c>
      <c r="W37" s="88">
        <f>SUMIF(F7:F79,26,E7:E79)</f>
        <v>0</v>
      </c>
      <c r="X37" s="88">
        <f>'Request #25'!Y37</f>
        <v>0</v>
      </c>
      <c r="Y37" s="88">
        <f t="shared" si="3"/>
        <v>0</v>
      </c>
      <c r="Z37" s="88">
        <f t="shared" si="4"/>
        <v>0</v>
      </c>
      <c r="AA37" s="88">
        <f>SUMIF(P7:P79,26,O7:O79)</f>
        <v>0</v>
      </c>
      <c r="AB37" s="50" t="str">
        <f>IF(W37&gt;='Request #25'!AA37,"OK","Alert,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5"/>
        <v>32</v>
      </c>
      <c r="H38" s="205" t="str">
        <f t="shared" si="5"/>
        <v>Other Fees</v>
      </c>
      <c r="I38" s="247">
        <f t="shared" si="5"/>
        <v>0</v>
      </c>
      <c r="K38" s="159"/>
      <c r="L38" s="157"/>
      <c r="M38" s="157"/>
      <c r="N38" s="154"/>
      <c r="O38" s="155"/>
      <c r="P38" s="158"/>
      <c r="R38" s="50" t="str">
        <f>IF(V38='Request #25'!V38,"OK","Send in Change Order")</f>
        <v>OK</v>
      </c>
      <c r="S38" s="85">
        <v>27</v>
      </c>
      <c r="T38" s="86" t="str">
        <f>'Request #25'!T38</f>
        <v>Other Fees</v>
      </c>
      <c r="U38" s="218">
        <f>'Request #25'!U38</f>
        <v>0</v>
      </c>
      <c r="V38" s="87">
        <f>'Request #25'!V38</f>
        <v>0</v>
      </c>
      <c r="W38" s="88">
        <f>SUMIF(F7:F79,27,E7:E79)</f>
        <v>0</v>
      </c>
      <c r="X38" s="88">
        <f>'Request #25'!Y38</f>
        <v>0</v>
      </c>
      <c r="Y38" s="88">
        <f t="shared" si="3"/>
        <v>0</v>
      </c>
      <c r="Z38" s="88">
        <f t="shared" si="4"/>
        <v>0</v>
      </c>
      <c r="AA38" s="88">
        <f>SUMIF(P7:P79,27,O7:O79)</f>
        <v>0</v>
      </c>
      <c r="AB38" s="50" t="str">
        <f>IF(W38&gt;='Request #25'!AA38,"OK","Alert,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5"/>
        <v>33</v>
      </c>
      <c r="H39" s="205" t="str">
        <f t="shared" si="5"/>
        <v>Other Fees</v>
      </c>
      <c r="I39" s="247">
        <f t="shared" si="5"/>
        <v>0</v>
      </c>
      <c r="K39" s="159"/>
      <c r="L39" s="157"/>
      <c r="M39" s="157"/>
      <c r="N39" s="154"/>
      <c r="O39" s="155"/>
      <c r="P39" s="158"/>
      <c r="R39" s="50" t="str">
        <f>IF(V39='Request #25'!V39,"OK","Send in Change Order")</f>
        <v>OK</v>
      </c>
      <c r="S39" s="85">
        <v>28</v>
      </c>
      <c r="T39" s="86" t="str">
        <f>'Request #25'!T39</f>
        <v>Other Fees</v>
      </c>
      <c r="U39" s="218">
        <f>'Request #25'!U39</f>
        <v>0</v>
      </c>
      <c r="V39" s="87">
        <f>'Request #25'!V39</f>
        <v>0</v>
      </c>
      <c r="W39" s="88">
        <f>SUMIF(F7:F79,28,E7:E79)</f>
        <v>0</v>
      </c>
      <c r="X39" s="88">
        <f>'Request #25'!Y39</f>
        <v>0</v>
      </c>
      <c r="Y39" s="88">
        <f t="shared" si="3"/>
        <v>0</v>
      </c>
      <c r="Z39" s="88">
        <f t="shared" si="4"/>
        <v>0</v>
      </c>
      <c r="AA39" s="88">
        <f>SUMIF(P7:P79,28,O7:O79)</f>
        <v>0</v>
      </c>
      <c r="AB39" s="50" t="str">
        <f>IF(W39&gt;='Request #25'!AA39,"OK","Alert,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5"/>
        <v>0</v>
      </c>
      <c r="H40" s="205">
        <f t="shared" si="5"/>
        <v>0</v>
      </c>
      <c r="I40" s="247">
        <f t="shared" si="5"/>
        <v>0</v>
      </c>
      <c r="K40" s="159"/>
      <c r="L40" s="157"/>
      <c r="M40" s="157"/>
      <c r="N40" s="154"/>
      <c r="O40" s="155"/>
      <c r="P40" s="158"/>
      <c r="R40" s="50" t="str">
        <f>IF(V40='Request #25'!V40,"OK","Send in Change Order")</f>
        <v>OK</v>
      </c>
      <c r="S40" s="85">
        <v>29</v>
      </c>
      <c r="T40" s="86" t="str">
        <f>'Request #25'!T40</f>
        <v>Other Fees</v>
      </c>
      <c r="U40" s="218">
        <f>'Request #25'!U40</f>
        <v>0</v>
      </c>
      <c r="V40" s="87">
        <f>'Request #25'!V40</f>
        <v>0</v>
      </c>
      <c r="W40" s="88">
        <f>SUMIF(F7:F79,29,E7:E79)</f>
        <v>0</v>
      </c>
      <c r="X40" s="88">
        <f>'Request #25'!Y40</f>
        <v>0</v>
      </c>
      <c r="Y40" s="88">
        <f t="shared" si="3"/>
        <v>0</v>
      </c>
      <c r="Z40" s="88">
        <f t="shared" si="4"/>
        <v>0</v>
      </c>
      <c r="AA40" s="88">
        <f>SUMIF(P7:P79,29,O7:O79)</f>
        <v>0</v>
      </c>
      <c r="AB40" s="50" t="str">
        <f>IF(W40&gt;='Request #25'!AA40,"OK","Alert,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6">S46</f>
        <v>Cost</v>
      </c>
      <c r="H41" s="205">
        <f t="shared" si="6"/>
        <v>0</v>
      </c>
      <c r="I41" s="247">
        <f t="shared" si="6"/>
        <v>0</v>
      </c>
      <c r="K41" s="159"/>
      <c r="L41" s="157"/>
      <c r="M41" s="157"/>
      <c r="N41" s="154"/>
      <c r="O41" s="155"/>
      <c r="P41" s="158"/>
      <c r="R41" s="50" t="str">
        <f>IF(V41='Request #25'!V41,"OK","Send in Change Order")</f>
        <v>OK</v>
      </c>
      <c r="S41" s="85">
        <v>30</v>
      </c>
      <c r="T41" s="86" t="str">
        <f>'Request #25'!T41</f>
        <v>Other Fees</v>
      </c>
      <c r="U41" s="218">
        <f>'Request #25'!U41</f>
        <v>0</v>
      </c>
      <c r="V41" s="87">
        <f>'Request #25'!V41</f>
        <v>0</v>
      </c>
      <c r="W41" s="88">
        <f>SUMIF(F7:F79,30,E7:E79)</f>
        <v>0</v>
      </c>
      <c r="X41" s="88">
        <f>'Request #25'!Y41</f>
        <v>0</v>
      </c>
      <c r="Y41" s="88">
        <f t="shared" si="3"/>
        <v>0</v>
      </c>
      <c r="Z41" s="88">
        <f t="shared" si="4"/>
        <v>0</v>
      </c>
      <c r="AA41" s="88">
        <f>SUMIF(P7:P79,30,O7:O79)</f>
        <v>0</v>
      </c>
      <c r="AB41" s="50" t="str">
        <f>IF(W41&gt;='Request #25'!AA41,"OK","Alert,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6"/>
        <v>Item</v>
      </c>
      <c r="H42" s="205" t="str">
        <f t="shared" si="6"/>
        <v>Account Name</v>
      </c>
      <c r="I42" s="247">
        <f t="shared" si="6"/>
        <v>0</v>
      </c>
      <c r="K42" s="159"/>
      <c r="L42" s="157"/>
      <c r="M42" s="157"/>
      <c r="N42" s="154"/>
      <c r="O42" s="155"/>
      <c r="P42" s="158"/>
      <c r="R42" s="50" t="str">
        <f>IF(V42='Request #25'!V42,"OK","Send in Change Order")</f>
        <v>OK</v>
      </c>
      <c r="S42" s="85">
        <v>31</v>
      </c>
      <c r="T42" s="86" t="str">
        <f>'Request #25'!T42</f>
        <v>Other Fees</v>
      </c>
      <c r="U42" s="218">
        <f>'Request #25'!U42</f>
        <v>0</v>
      </c>
      <c r="V42" s="87">
        <f>'Request #25'!V42</f>
        <v>0</v>
      </c>
      <c r="W42" s="88">
        <f>SUMIF(F7:F79,31,E7:E79)</f>
        <v>0</v>
      </c>
      <c r="X42" s="88">
        <f>'Request #25'!Y42</f>
        <v>0</v>
      </c>
      <c r="Y42" s="88">
        <f t="shared" si="3"/>
        <v>0</v>
      </c>
      <c r="Z42" s="88">
        <f t="shared" si="4"/>
        <v>0</v>
      </c>
      <c r="AA42" s="88">
        <f>SUMIF(P7:P79,31,O7:O79)</f>
        <v>0</v>
      </c>
      <c r="AB42" s="50" t="str">
        <f>IF(W42&gt;='Request #25'!AA42,"OK","Alert,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6"/>
        <v>0</v>
      </c>
      <c r="H43" s="205">
        <f t="shared" si="6"/>
        <v>0</v>
      </c>
      <c r="I43" s="247">
        <f t="shared" si="6"/>
        <v>0</v>
      </c>
      <c r="K43" s="159"/>
      <c r="L43" s="157"/>
      <c r="M43" s="157"/>
      <c r="N43" s="154"/>
      <c r="O43" s="155"/>
      <c r="P43" s="158"/>
      <c r="R43" s="50" t="str">
        <f>IF(V43='Request #25'!V43,"OK","Send in Change Order")</f>
        <v>OK</v>
      </c>
      <c r="S43" s="85">
        <v>32</v>
      </c>
      <c r="T43" s="86" t="str">
        <f>'Request #25'!T43</f>
        <v>Other Fees</v>
      </c>
      <c r="U43" s="218">
        <f>'Request #25'!U43</f>
        <v>0</v>
      </c>
      <c r="V43" s="87">
        <f>'Request #25'!V43</f>
        <v>0</v>
      </c>
      <c r="W43" s="88">
        <f>SUMIF(F7:F79,32,E7:E79)</f>
        <v>0</v>
      </c>
      <c r="X43" s="88">
        <f>'Request #25'!Y43</f>
        <v>0</v>
      </c>
      <c r="Y43" s="88">
        <f t="shared" si="3"/>
        <v>0</v>
      </c>
      <c r="Z43" s="88">
        <f t="shared" si="4"/>
        <v>0</v>
      </c>
      <c r="AA43" s="88">
        <f>SUMIF(P7:P79,32,O7:O79)</f>
        <v>0</v>
      </c>
      <c r="AB43" s="50" t="str">
        <f>IF(W43&gt;='Request #25'!AA43,"OK","Alert,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6"/>
        <v>38</v>
      </c>
      <c r="H44" s="205" t="str">
        <f t="shared" si="6"/>
        <v>Other Fees</v>
      </c>
      <c r="I44" s="247">
        <f t="shared" si="6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#25'!V44,"OK","Send in Change Order")</f>
        <v>OK</v>
      </c>
      <c r="S44" s="85">
        <v>33</v>
      </c>
      <c r="T44" s="86" t="str">
        <f>'Request #25'!T44</f>
        <v>Other Fees</v>
      </c>
      <c r="U44" s="218">
        <f>'Request #25'!U44</f>
        <v>0</v>
      </c>
      <c r="V44" s="87">
        <f>'Request #25'!V44</f>
        <v>0</v>
      </c>
      <c r="W44" s="88">
        <f>SUMIF(F7:F79,33,E7:E79)</f>
        <v>0</v>
      </c>
      <c r="X44" s="88">
        <f>'Request #25'!Y44</f>
        <v>0</v>
      </c>
      <c r="Y44" s="88">
        <f t="shared" si="3"/>
        <v>0</v>
      </c>
      <c r="Z44" s="88">
        <f t="shared" si="4"/>
        <v>0</v>
      </c>
      <c r="AA44" s="88">
        <f>SUMIF(P7:P79,33,O7:O79)</f>
        <v>0</v>
      </c>
      <c r="AB44" s="50" t="str">
        <f>IF(W44&gt;='Request #25'!AA44,"OK","Alert,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6"/>
        <v>39</v>
      </c>
      <c r="H45" s="205" t="str">
        <f t="shared" si="6"/>
        <v>Other Fees</v>
      </c>
      <c r="I45" s="247">
        <f t="shared" si="6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6"/>
        <v>40</v>
      </c>
      <c r="H46" s="205" t="str">
        <f t="shared" si="6"/>
        <v>Other Fees</v>
      </c>
      <c r="I46" s="247">
        <f t="shared" si="6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6"/>
        <v>41</v>
      </c>
      <c r="H47" s="205" t="str">
        <f t="shared" si="6"/>
        <v>Other Fees</v>
      </c>
      <c r="I47" s="247">
        <f t="shared" si="6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6"/>
        <v>42</v>
      </c>
      <c r="H48" s="205" t="str">
        <f t="shared" si="6"/>
        <v>Other Fees</v>
      </c>
      <c r="I48" s="247">
        <f t="shared" si="6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6"/>
        <v>43</v>
      </c>
      <c r="H49" s="205" t="str">
        <f t="shared" si="6"/>
        <v>Other Fees</v>
      </c>
      <c r="I49" s="247">
        <f t="shared" si="6"/>
        <v>0</v>
      </c>
      <c r="K49" s="159"/>
      <c r="L49" s="157"/>
      <c r="M49" s="157"/>
      <c r="N49" s="154"/>
      <c r="O49" s="155"/>
      <c r="P49" s="158"/>
      <c r="R49" s="50" t="str">
        <f>IF(V49='Request #25'!V49,"OK","Send in Change Order")</f>
        <v>OK</v>
      </c>
      <c r="S49" s="85">
        <v>38</v>
      </c>
      <c r="T49" s="86" t="str">
        <f>'Request #25'!T49</f>
        <v>Other Fees</v>
      </c>
      <c r="U49" s="218">
        <f>'Request #25'!U49</f>
        <v>0</v>
      </c>
      <c r="V49" s="87">
        <f>'Request #25'!V49</f>
        <v>0</v>
      </c>
      <c r="W49" s="88">
        <f>SUMIF(F7:F79,38,E7:E79)</f>
        <v>0</v>
      </c>
      <c r="X49" s="88">
        <f>'Request #25'!Y49</f>
        <v>0</v>
      </c>
      <c r="Y49" s="88">
        <f t="shared" si="3"/>
        <v>0</v>
      </c>
      <c r="Z49" s="88">
        <f t="shared" si="4"/>
        <v>0</v>
      </c>
      <c r="AA49" s="88">
        <f>SUMIF(P7:P79,38,O7:O79)</f>
        <v>0</v>
      </c>
      <c r="AB49" s="50" t="str">
        <f>IF(W49&gt;='Request #25'!AA49,"OK","Alert,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6"/>
        <v>44</v>
      </c>
      <c r="H50" s="205" t="str">
        <f t="shared" si="6"/>
        <v>Other Fees</v>
      </c>
      <c r="I50" s="247">
        <f t="shared" si="6"/>
        <v>0</v>
      </c>
      <c r="K50" s="159"/>
      <c r="L50" s="157"/>
      <c r="M50" s="157"/>
      <c r="N50" s="154"/>
      <c r="O50" s="155"/>
      <c r="P50" s="158"/>
      <c r="R50" s="50" t="str">
        <f>IF(V50='Request #25'!V50,"OK","Send in Change Order")</f>
        <v>OK</v>
      </c>
      <c r="S50" s="85">
        <v>39</v>
      </c>
      <c r="T50" s="86" t="str">
        <f>'Request #25'!T50</f>
        <v>Other Fees</v>
      </c>
      <c r="U50" s="218">
        <f>'Request #25'!U50</f>
        <v>0</v>
      </c>
      <c r="V50" s="87">
        <f>'Request #25'!V50</f>
        <v>0</v>
      </c>
      <c r="W50" s="88">
        <f>SUMIF(F7:F79,39,E7:E79)</f>
        <v>0</v>
      </c>
      <c r="X50" s="88">
        <f>'Request #25'!Y50</f>
        <v>0</v>
      </c>
      <c r="Y50" s="88">
        <f t="shared" si="3"/>
        <v>0</v>
      </c>
      <c r="Z50" s="88">
        <f t="shared" si="4"/>
        <v>0</v>
      </c>
      <c r="AA50" s="88">
        <f>SUMIF(P7:P79,39,O7:O79)</f>
        <v>0</v>
      </c>
      <c r="AB50" s="50" t="str">
        <f>IF(W50&gt;='Request #25'!AA50,"OK","Alert,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6"/>
        <v>45</v>
      </c>
      <c r="H51" s="205" t="str">
        <f t="shared" si="6"/>
        <v>Other Fees</v>
      </c>
      <c r="I51" s="247">
        <f t="shared" si="6"/>
        <v>0</v>
      </c>
      <c r="K51" s="159"/>
      <c r="L51" s="157"/>
      <c r="M51" s="157"/>
      <c r="N51" s="154"/>
      <c r="O51" s="155"/>
      <c r="P51" s="158"/>
      <c r="R51" s="50" t="str">
        <f>IF(V51='Request #25'!V51,"OK","Send in Change Order")</f>
        <v>OK</v>
      </c>
      <c r="S51" s="85">
        <v>40</v>
      </c>
      <c r="T51" s="86" t="str">
        <f>'Request #25'!T51</f>
        <v>Other Fees</v>
      </c>
      <c r="U51" s="218">
        <f>'Request #25'!U51</f>
        <v>0</v>
      </c>
      <c r="V51" s="87">
        <f>'Request #25'!V51</f>
        <v>0</v>
      </c>
      <c r="W51" s="88">
        <f>SUMIF(F7:F79,40,E7:E79)</f>
        <v>0</v>
      </c>
      <c r="X51" s="88">
        <f>'Request #25'!Y51</f>
        <v>0</v>
      </c>
      <c r="Y51" s="88">
        <f t="shared" si="3"/>
        <v>0</v>
      </c>
      <c r="Z51" s="88">
        <f t="shared" si="4"/>
        <v>0</v>
      </c>
      <c r="AA51" s="88">
        <f>SUMIF(P7:P79,40,O7:O79)</f>
        <v>0</v>
      </c>
      <c r="AB51" s="50" t="str">
        <f>IF(W51&gt;='Request #25'!AA51,"OK","Alert,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6"/>
        <v>46</v>
      </c>
      <c r="H52" s="205" t="str">
        <f t="shared" si="6"/>
        <v>Other Fees</v>
      </c>
      <c r="I52" s="247">
        <f t="shared" si="6"/>
        <v>0</v>
      </c>
      <c r="K52" s="159"/>
      <c r="L52" s="157"/>
      <c r="M52" s="157"/>
      <c r="N52" s="154"/>
      <c r="O52" s="155"/>
      <c r="P52" s="158"/>
      <c r="R52" s="50" t="str">
        <f>IF(V52='Request #25'!V52,"OK","Send in Change Order")</f>
        <v>OK</v>
      </c>
      <c r="S52" s="85">
        <v>41</v>
      </c>
      <c r="T52" s="86" t="str">
        <f>'Request #25'!T52</f>
        <v>Other Fees</v>
      </c>
      <c r="U52" s="218">
        <f>'Request #25'!U52</f>
        <v>0</v>
      </c>
      <c r="V52" s="87">
        <f>'Request #25'!V52</f>
        <v>0</v>
      </c>
      <c r="W52" s="88">
        <f>SUMIF(F7:F79,41,E7:E79)</f>
        <v>0</v>
      </c>
      <c r="X52" s="88">
        <f>'Request #25'!Y52</f>
        <v>0</v>
      </c>
      <c r="Y52" s="88">
        <f t="shared" si="3"/>
        <v>0</v>
      </c>
      <c r="Z52" s="88">
        <f t="shared" si="4"/>
        <v>0</v>
      </c>
      <c r="AA52" s="88">
        <f>SUMIF(P7:P79,41,O7:O79)</f>
        <v>0</v>
      </c>
      <c r="AB52" s="50" t="str">
        <f>IF(W52&gt;='Request #25'!AA52,"OK","Alert,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6"/>
        <v>47</v>
      </c>
      <c r="H53" s="205" t="str">
        <f t="shared" si="6"/>
        <v>Other Fees</v>
      </c>
      <c r="I53" s="247">
        <f t="shared" si="6"/>
        <v>0</v>
      </c>
      <c r="K53" s="159"/>
      <c r="L53" s="157"/>
      <c r="M53" s="157"/>
      <c r="N53" s="154"/>
      <c r="O53" s="155"/>
      <c r="P53" s="158"/>
      <c r="R53" s="50" t="str">
        <f>IF(V53='Request #25'!V53,"OK","Send in Change Order")</f>
        <v>OK</v>
      </c>
      <c r="S53" s="85">
        <v>42</v>
      </c>
      <c r="T53" s="86" t="str">
        <f>'Request #25'!T53</f>
        <v>Other Fees</v>
      </c>
      <c r="U53" s="218">
        <f>'Request #25'!U53</f>
        <v>0</v>
      </c>
      <c r="V53" s="87">
        <f>'Request #25'!V53</f>
        <v>0</v>
      </c>
      <c r="W53" s="88">
        <f>SUMIF(F7:F79,42,E7:E79)</f>
        <v>0</v>
      </c>
      <c r="X53" s="88">
        <f>'Request #25'!Y53</f>
        <v>0</v>
      </c>
      <c r="Y53" s="88">
        <f t="shared" si="3"/>
        <v>0</v>
      </c>
      <c r="Z53" s="88">
        <f t="shared" si="4"/>
        <v>0</v>
      </c>
      <c r="AA53" s="88">
        <f>SUMIF(P7:P79,42,O7:O79)</f>
        <v>0</v>
      </c>
      <c r="AB53" s="50" t="str">
        <f>IF(W53&gt;='Request #25'!AA53,"OK","Alert,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6"/>
        <v>48</v>
      </c>
      <c r="H54" s="205" t="str">
        <f t="shared" si="6"/>
        <v>Other Fees</v>
      </c>
      <c r="I54" s="247">
        <f t="shared" si="6"/>
        <v>0</v>
      </c>
      <c r="K54" s="159"/>
      <c r="L54" s="157"/>
      <c r="M54" s="157"/>
      <c r="N54" s="154"/>
      <c r="O54" s="155"/>
      <c r="P54" s="158"/>
      <c r="R54" s="50" t="str">
        <f>IF(V54='Request #25'!V54,"OK","Send in Change Order")</f>
        <v>OK</v>
      </c>
      <c r="S54" s="85">
        <v>43</v>
      </c>
      <c r="T54" s="86" t="str">
        <f>'Request #25'!T54</f>
        <v>Other Fees</v>
      </c>
      <c r="U54" s="218">
        <f>'Request #25'!U54</f>
        <v>0</v>
      </c>
      <c r="V54" s="87">
        <f>'Request #25'!V54</f>
        <v>0</v>
      </c>
      <c r="W54" s="88">
        <f>SUMIF(F7:F79,43,E7:E79)</f>
        <v>0</v>
      </c>
      <c r="X54" s="88">
        <f>'Request #25'!Y54</f>
        <v>0</v>
      </c>
      <c r="Y54" s="88">
        <f t="shared" si="3"/>
        <v>0</v>
      </c>
      <c r="Z54" s="88">
        <f t="shared" si="4"/>
        <v>0</v>
      </c>
      <c r="AA54" s="88">
        <f>SUMIF(P7:P79,43,O7:O79)</f>
        <v>0</v>
      </c>
      <c r="AB54" s="50" t="str">
        <f>IF(W54&gt;='Request #25'!AA54,"OK","Alert,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6"/>
        <v>49</v>
      </c>
      <c r="H55" s="205" t="str">
        <f t="shared" si="6"/>
        <v>Other Fees</v>
      </c>
      <c r="I55" s="247">
        <f t="shared" si="6"/>
        <v>0</v>
      </c>
      <c r="K55" s="159"/>
      <c r="L55" s="157"/>
      <c r="M55" s="157"/>
      <c r="N55" s="154"/>
      <c r="O55" s="155"/>
      <c r="P55" s="158"/>
      <c r="R55" s="50" t="str">
        <f>IF(V55='Request #25'!V55,"OK","Send in Change Order")</f>
        <v>OK</v>
      </c>
      <c r="S55" s="85">
        <v>44</v>
      </c>
      <c r="T55" s="86" t="str">
        <f>'Request #25'!T55</f>
        <v>Other Fees</v>
      </c>
      <c r="U55" s="218">
        <f>'Request #25'!U55</f>
        <v>0</v>
      </c>
      <c r="V55" s="87">
        <f>'Request #25'!V55</f>
        <v>0</v>
      </c>
      <c r="W55" s="88">
        <f>SUMIF(F7:F79,44,E7:E79)</f>
        <v>0</v>
      </c>
      <c r="X55" s="88">
        <f>'Request #25'!Y55</f>
        <v>0</v>
      </c>
      <c r="Y55" s="88">
        <f t="shared" si="3"/>
        <v>0</v>
      </c>
      <c r="Z55" s="88">
        <f t="shared" si="4"/>
        <v>0</v>
      </c>
      <c r="AA55" s="88">
        <f>SUMIF(P7:P79,44,O7:O79)</f>
        <v>0</v>
      </c>
      <c r="AB55" s="50" t="str">
        <f>IF(W55&gt;='Request #25'!AA55,"OK","Alert,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6"/>
        <v>50</v>
      </c>
      <c r="H56" s="205" t="str">
        <f t="shared" si="6"/>
        <v>Other Fees</v>
      </c>
      <c r="I56" s="247">
        <f t="shared" si="6"/>
        <v>0</v>
      </c>
      <c r="K56" s="159"/>
      <c r="L56" s="157"/>
      <c r="M56" s="157"/>
      <c r="N56" s="154"/>
      <c r="O56" s="155"/>
      <c r="P56" s="158"/>
      <c r="R56" s="50" t="str">
        <f>IF(V56='Request #25'!V56,"OK","Send in Change Order")</f>
        <v>OK</v>
      </c>
      <c r="S56" s="85">
        <v>45</v>
      </c>
      <c r="T56" s="86" t="str">
        <f>'Request #25'!T56</f>
        <v>Other Fees</v>
      </c>
      <c r="U56" s="218">
        <f>'Request #25'!U56</f>
        <v>0</v>
      </c>
      <c r="V56" s="87">
        <f>'Request #25'!V56</f>
        <v>0</v>
      </c>
      <c r="W56" s="88">
        <f>SUMIF(F7:F79,45,E7:E79)</f>
        <v>0</v>
      </c>
      <c r="X56" s="88">
        <f>'Request #25'!Y56</f>
        <v>0</v>
      </c>
      <c r="Y56" s="88">
        <f t="shared" si="3"/>
        <v>0</v>
      </c>
      <c r="Z56" s="88">
        <f t="shared" si="4"/>
        <v>0</v>
      </c>
      <c r="AA56" s="88">
        <f>SUMIF(P7:P79,45,O7:O79)</f>
        <v>0</v>
      </c>
      <c r="AB56" s="50" t="str">
        <f>IF(W56&gt;='Request #25'!AA56,"OK","Alert,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7">S62</f>
        <v>51</v>
      </c>
      <c r="H57" s="205" t="str">
        <f t="shared" si="7"/>
        <v>Other Fees</v>
      </c>
      <c r="I57" s="247">
        <f t="shared" si="7"/>
        <v>0</v>
      </c>
      <c r="K57" s="159"/>
      <c r="L57" s="157"/>
      <c r="M57" s="157"/>
      <c r="N57" s="154"/>
      <c r="O57" s="155"/>
      <c r="P57" s="158"/>
      <c r="R57" s="50" t="str">
        <f>IF(V57='Request #25'!V57,"OK","Send in Change Order")</f>
        <v>OK</v>
      </c>
      <c r="S57" s="85">
        <v>46</v>
      </c>
      <c r="T57" s="86" t="str">
        <f>'Request #25'!T57</f>
        <v>Other Fees</v>
      </c>
      <c r="U57" s="218">
        <f>'Request #25'!U57</f>
        <v>0</v>
      </c>
      <c r="V57" s="87">
        <f>'Request #25'!V57</f>
        <v>0</v>
      </c>
      <c r="W57" s="88">
        <f>SUMIF(F7:F79,46,E7:E79)</f>
        <v>0</v>
      </c>
      <c r="X57" s="88">
        <f>'Request #25'!Y57</f>
        <v>0</v>
      </c>
      <c r="Y57" s="88">
        <f t="shared" si="3"/>
        <v>0</v>
      </c>
      <c r="Z57" s="88">
        <f t="shared" si="4"/>
        <v>0</v>
      </c>
      <c r="AA57" s="88">
        <f>SUMIF(P7:P79,46,O7:O79)</f>
        <v>0</v>
      </c>
      <c r="AB57" s="50" t="str">
        <f>IF(W57&gt;='Request #25'!AA57,"OK","Alert,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7"/>
        <v>52</v>
      </c>
      <c r="H58" s="205" t="str">
        <f t="shared" si="7"/>
        <v>Worked Performed by Owner</v>
      </c>
      <c r="I58" s="247">
        <f t="shared" si="7"/>
        <v>0</v>
      </c>
      <c r="K58" s="159"/>
      <c r="L58" s="157"/>
      <c r="M58" s="157"/>
      <c r="N58" s="154"/>
      <c r="O58" s="155"/>
      <c r="P58" s="158"/>
      <c r="R58" s="50" t="str">
        <f>IF(V58='Request #25'!V58,"OK","Send in Change Order")</f>
        <v>OK</v>
      </c>
      <c r="S58" s="85">
        <v>47</v>
      </c>
      <c r="T58" s="86" t="str">
        <f>'Request #25'!T58</f>
        <v>Other Fees</v>
      </c>
      <c r="U58" s="218">
        <f>'Request #25'!U58</f>
        <v>0</v>
      </c>
      <c r="V58" s="87">
        <f>'Request #25'!V58</f>
        <v>0</v>
      </c>
      <c r="W58" s="88">
        <f>SUMIF(F7:F79,47,E7:E79)</f>
        <v>0</v>
      </c>
      <c r="X58" s="88">
        <f>'Request #25'!Y58</f>
        <v>0</v>
      </c>
      <c r="Y58" s="88">
        <f t="shared" si="3"/>
        <v>0</v>
      </c>
      <c r="Z58" s="88">
        <f t="shared" si="4"/>
        <v>0</v>
      </c>
      <c r="AA58" s="88">
        <f>SUMIF(P7:P79,47,O7:O79)</f>
        <v>0</v>
      </c>
      <c r="AB58" s="50" t="str">
        <f>IF(W58&gt;='Request #25'!AA58,"OK","Alert,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7"/>
        <v>53</v>
      </c>
      <c r="H59" s="205" t="str">
        <f t="shared" si="7"/>
        <v>Equipment (Major)</v>
      </c>
      <c r="I59" s="247">
        <f t="shared" si="7"/>
        <v>0</v>
      </c>
      <c r="K59" s="159"/>
      <c r="L59" s="157"/>
      <c r="M59" s="157"/>
      <c r="N59" s="154"/>
      <c r="O59" s="155"/>
      <c r="P59" s="158"/>
      <c r="R59" s="50" t="str">
        <f>IF(V59='Request #25'!V59,"OK","Send in Change Order")</f>
        <v>OK</v>
      </c>
      <c r="S59" s="85">
        <v>48</v>
      </c>
      <c r="T59" s="86" t="str">
        <f>'Request #25'!T59</f>
        <v>Other Fees</v>
      </c>
      <c r="U59" s="218">
        <f>'Request #25'!U59</f>
        <v>0</v>
      </c>
      <c r="V59" s="87">
        <f>'Request #25'!V59</f>
        <v>0</v>
      </c>
      <c r="W59" s="88">
        <f>SUMIF(F7:F79,48,E7:E79)</f>
        <v>0</v>
      </c>
      <c r="X59" s="88">
        <f>'Request #25'!Y59</f>
        <v>0</v>
      </c>
      <c r="Y59" s="88">
        <f t="shared" si="3"/>
        <v>0</v>
      </c>
      <c r="Z59" s="88">
        <f t="shared" si="4"/>
        <v>0</v>
      </c>
      <c r="AA59" s="88">
        <f>SUMIF(P7:P79,48,O7:O79)</f>
        <v>0</v>
      </c>
      <c r="AB59" s="50" t="str">
        <f>IF(W59&gt;='Request #25'!AA59,"OK","Alert,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7"/>
        <v>54</v>
      </c>
      <c r="H60" s="205" t="str">
        <f t="shared" si="7"/>
        <v>Contingency Fund</v>
      </c>
      <c r="I60" s="247">
        <f t="shared" si="7"/>
        <v>0</v>
      </c>
      <c r="K60" s="159"/>
      <c r="L60" s="157"/>
      <c r="M60" s="157"/>
      <c r="N60" s="154"/>
      <c r="O60" s="155"/>
      <c r="P60" s="158"/>
      <c r="R60" s="50" t="str">
        <f>IF(V60='Request #25'!V60,"OK","Send in Change Order")</f>
        <v>OK</v>
      </c>
      <c r="S60" s="85">
        <v>49</v>
      </c>
      <c r="T60" s="86" t="str">
        <f>'Request #25'!T60</f>
        <v>Other Fees</v>
      </c>
      <c r="U60" s="218">
        <f>'Request #25'!U60</f>
        <v>0</v>
      </c>
      <c r="V60" s="87">
        <f>'Request #25'!V60</f>
        <v>0</v>
      </c>
      <c r="W60" s="88">
        <f>SUMIF(F7:F79,49,E7:E79)</f>
        <v>0</v>
      </c>
      <c r="X60" s="88">
        <f>'Request #25'!Y60</f>
        <v>0</v>
      </c>
      <c r="Y60" s="88">
        <f t="shared" si="3"/>
        <v>0</v>
      </c>
      <c r="Z60" s="88">
        <f t="shared" si="4"/>
        <v>0</v>
      </c>
      <c r="AA60" s="88">
        <f>SUMIF(P7:P79,49,O7:O79)</f>
        <v>0</v>
      </c>
      <c r="AB60" s="50" t="str">
        <f>IF(W60&gt;='Request #25'!AA60,"OK","Alert,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7"/>
        <v>55</v>
      </c>
      <c r="H61" s="205">
        <f t="shared" si="7"/>
        <v>0</v>
      </c>
      <c r="I61" s="247">
        <f t="shared" si="7"/>
        <v>0</v>
      </c>
      <c r="K61" s="159"/>
      <c r="L61" s="157"/>
      <c r="M61" s="157"/>
      <c r="N61" s="154"/>
      <c r="O61" s="155"/>
      <c r="P61" s="158"/>
      <c r="R61" s="50" t="str">
        <f>IF(V61='Request #25'!V61,"OK","Send in Change Order")</f>
        <v>OK</v>
      </c>
      <c r="S61" s="85">
        <v>50</v>
      </c>
      <c r="T61" s="86" t="str">
        <f>'Request #25'!T61</f>
        <v>Other Fees</v>
      </c>
      <c r="U61" s="218">
        <f>'Request #25'!U61</f>
        <v>0</v>
      </c>
      <c r="V61" s="87">
        <f>'Request #25'!V61</f>
        <v>0</v>
      </c>
      <c r="W61" s="88">
        <f>SUMIF(F7:F79,50,E7:E79)</f>
        <v>0</v>
      </c>
      <c r="X61" s="88">
        <f>'Request #25'!Y61</f>
        <v>0</v>
      </c>
      <c r="Y61" s="88">
        <f t="shared" si="3"/>
        <v>0</v>
      </c>
      <c r="Z61" s="88">
        <f t="shared" si="4"/>
        <v>0</v>
      </c>
      <c r="AA61" s="88">
        <f>SUMIF(P7:P79,50,O7:O79)</f>
        <v>0</v>
      </c>
      <c r="AB61" s="50" t="str">
        <f>IF(W61&gt;='Request #25'!AA61,"OK","Alert,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7"/>
        <v>56</v>
      </c>
      <c r="H62" s="205">
        <f t="shared" si="7"/>
        <v>0</v>
      </c>
      <c r="I62" s="247">
        <f t="shared" si="7"/>
        <v>0</v>
      </c>
      <c r="K62" s="159"/>
      <c r="L62" s="157"/>
      <c r="M62" s="157"/>
      <c r="N62" s="154"/>
      <c r="O62" s="155"/>
      <c r="P62" s="158"/>
      <c r="R62" s="50" t="str">
        <f>IF(V62='Request #25'!V62,"OK","Send in Change Order")</f>
        <v>OK</v>
      </c>
      <c r="S62" s="85">
        <v>51</v>
      </c>
      <c r="T62" s="86" t="str">
        <f>'Request #25'!T62</f>
        <v>Other Fees</v>
      </c>
      <c r="U62" s="218">
        <f>'Request #25'!U62</f>
        <v>0</v>
      </c>
      <c r="V62" s="87">
        <f>'Request #25'!V62</f>
        <v>0</v>
      </c>
      <c r="W62" s="88">
        <f>SUMIF(F7:F79,51,E7:E79)</f>
        <v>0</v>
      </c>
      <c r="X62" s="88">
        <f>'Request #25'!Y62</f>
        <v>0</v>
      </c>
      <c r="Y62" s="88">
        <f t="shared" si="3"/>
        <v>0</v>
      </c>
      <c r="Z62" s="88">
        <f t="shared" si="4"/>
        <v>0</v>
      </c>
      <c r="AA62" s="88">
        <f>SUMIF(P7:P79,51,O7:O79)</f>
        <v>0</v>
      </c>
      <c r="AB62" s="50" t="str">
        <f>IF(W62&gt;='Request #25'!AA62,"OK","Alert,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#25'!V63,"OK","Send in Change Order")</f>
        <v>OK</v>
      </c>
      <c r="S63" s="85">
        <v>52</v>
      </c>
      <c r="T63" s="86" t="str">
        <f>'Request #25'!T63</f>
        <v>Worked Performed by Owner</v>
      </c>
      <c r="U63" s="218">
        <f>'Request #25'!U63</f>
        <v>0</v>
      </c>
      <c r="V63" s="87">
        <f>'Request #25'!V63</f>
        <v>0</v>
      </c>
      <c r="W63" s="88">
        <f>SUMIF(F7:F79,52,E7:E79)</f>
        <v>0</v>
      </c>
      <c r="X63" s="88">
        <f>'Request #25'!Y63</f>
        <v>0</v>
      </c>
      <c r="Y63" s="88">
        <f t="shared" si="3"/>
        <v>0</v>
      </c>
      <c r="Z63" s="88">
        <f t="shared" si="4"/>
        <v>0</v>
      </c>
      <c r="AA63" s="88">
        <f>SUMIF(P7:P79,52,O7:O79)</f>
        <v>0</v>
      </c>
      <c r="AB63" s="50" t="str">
        <f>IF(W63&gt;='Request #25'!AA63,"OK","Alert,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#25'!V64,"OK","Send in Change Order")</f>
        <v>OK</v>
      </c>
      <c r="S64" s="85">
        <v>53</v>
      </c>
      <c r="T64" s="86" t="str">
        <f>'Request #25'!T64</f>
        <v>Equipment (Major)</v>
      </c>
      <c r="U64" s="218">
        <f>'Request #25'!U64</f>
        <v>0</v>
      </c>
      <c r="V64" s="87">
        <f>'Request #25'!V64</f>
        <v>0</v>
      </c>
      <c r="W64" s="88">
        <f>SUMIF(F7:F79,53,E7:E79)</f>
        <v>0</v>
      </c>
      <c r="X64" s="88">
        <f>'Request #25'!Y64</f>
        <v>0</v>
      </c>
      <c r="Y64" s="88">
        <f t="shared" si="3"/>
        <v>0</v>
      </c>
      <c r="Z64" s="88">
        <f t="shared" si="4"/>
        <v>0</v>
      </c>
      <c r="AA64" s="88">
        <f>SUMIF(P7:P79,53,O7:O79)</f>
        <v>0</v>
      </c>
      <c r="AB64" s="50" t="str">
        <f>IF(W64&gt;='Request #25'!AA64,"OK","Alert,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#25'!V65,"OK","Send in Change Order")</f>
        <v>OK</v>
      </c>
      <c r="S65" s="85">
        <v>54</v>
      </c>
      <c r="T65" s="102" t="s">
        <v>90</v>
      </c>
      <c r="U65" s="218">
        <f>'Request #25'!U65</f>
        <v>0</v>
      </c>
      <c r="V65" s="87">
        <f>'Request #25'!V65</f>
        <v>0</v>
      </c>
      <c r="W65" s="104"/>
      <c r="X65" s="88">
        <f>'Request #25'!Y65</f>
        <v>0</v>
      </c>
      <c r="Y65" s="88">
        <f t="shared" si="3"/>
        <v>0</v>
      </c>
      <c r="Z65" s="88">
        <f t="shared" si="4"/>
        <v>0</v>
      </c>
      <c r="AA65" s="104"/>
      <c r="AB65" s="50" t="str">
        <f>IF(W65&gt;='Request #25'!AA65,"OK","Alert,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#25'!V66,"OK","Send in Change Order")</f>
        <v>OK</v>
      </c>
      <c r="S66" s="85">
        <v>55</v>
      </c>
      <c r="T66" s="86"/>
      <c r="U66" s="218">
        <f>'Request #25'!U66</f>
        <v>0</v>
      </c>
      <c r="V66" s="87">
        <f>'Request #25'!V66</f>
        <v>0</v>
      </c>
      <c r="W66" s="88">
        <f>SUMIF(F7:F79,55,E7:E79)</f>
        <v>0</v>
      </c>
      <c r="X66" s="88">
        <f>'Request #25'!Y66</f>
        <v>0</v>
      </c>
      <c r="Y66" s="88">
        <f t="shared" si="3"/>
        <v>0</v>
      </c>
      <c r="Z66" s="88">
        <f t="shared" si="4"/>
        <v>0</v>
      </c>
      <c r="AA66" s="88">
        <f>SUMIF(P7:P79,55,O7:O79)</f>
        <v>0</v>
      </c>
      <c r="AB66" s="50" t="str">
        <f>IF(W66&gt;='Request #25'!AA66,"OK","Alert,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#25'!V67,"OK","Send in Change Order")</f>
        <v>OK</v>
      </c>
      <c r="S67" s="85">
        <v>56</v>
      </c>
      <c r="T67" s="79"/>
      <c r="U67" s="218">
        <f>'Request #25'!U67</f>
        <v>0</v>
      </c>
      <c r="V67" s="87">
        <f>'Request #25'!V67</f>
        <v>0</v>
      </c>
      <c r="W67" s="88">
        <f>SUMIF(F7:F79,56,E7:E79)</f>
        <v>0</v>
      </c>
      <c r="X67" s="88">
        <f>'Request #25'!Y67</f>
        <v>0</v>
      </c>
      <c r="Y67" s="88">
        <f t="shared" si="3"/>
        <v>0</v>
      </c>
      <c r="Z67" s="88">
        <f t="shared" si="4"/>
        <v>0</v>
      </c>
      <c r="AA67" s="88">
        <f>SUMIF(P7:P79,56,O7:O79)</f>
        <v>0</v>
      </c>
      <c r="AB67" s="50" t="str">
        <f>IF(W67&gt;='Request #25'!AA67,"OK","Alert,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#25'!V68,"OK","Send in Change Order")</f>
        <v>OK</v>
      </c>
      <c r="S68" s="316" t="s">
        <v>60</v>
      </c>
      <c r="T68" s="317"/>
      <c r="U68" s="224" t="s">
        <v>91</v>
      </c>
      <c r="V68" s="263">
        <f t="shared" ref="V68:AA68" si="8">SUM(V12:V67)</f>
        <v>0</v>
      </c>
      <c r="W68" s="105">
        <f t="shared" si="8"/>
        <v>0</v>
      </c>
      <c r="X68" s="105">
        <f t="shared" si="8"/>
        <v>0</v>
      </c>
      <c r="Y68" s="105">
        <f t="shared" si="8"/>
        <v>0</v>
      </c>
      <c r="Z68" s="105">
        <f t="shared" si="8"/>
        <v>0</v>
      </c>
      <c r="AA68" s="105">
        <f t="shared" si="8"/>
        <v>0</v>
      </c>
      <c r="AB68" s="50" t="str">
        <f>IF(W68&gt;='Request #25'!AA68,"OK","Alert,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25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226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27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28" t="e">
        <f>V72/V68</f>
        <v>#DIV/0!</v>
      </c>
      <c r="V72" s="88">
        <f>V68-V74-V73</f>
        <v>0</v>
      </c>
      <c r="W72" s="87">
        <v>0</v>
      </c>
      <c r="X72" s="88">
        <f>'Request #25'!Y72</f>
        <v>0</v>
      </c>
      <c r="Y72" s="88">
        <f t="shared" ref="Y72:Y73" si="9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#25'!V73,"OK","Send in Change Order")</f>
        <v>OK</v>
      </c>
      <c r="S73" s="86" t="s">
        <v>95</v>
      </c>
      <c r="T73" s="114"/>
      <c r="U73" s="228" t="e">
        <f>V73/V68</f>
        <v>#DIV/0!</v>
      </c>
      <c r="V73" s="87">
        <f>'Request #25'!V73</f>
        <v>0</v>
      </c>
      <c r="W73" s="87">
        <v>0</v>
      </c>
      <c r="X73" s="88">
        <f>'Request #25'!Y73</f>
        <v>0</v>
      </c>
      <c r="Y73" s="88">
        <f t="shared" si="9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#25'!V74,"OK","Send in Change Order")</f>
        <v>OK</v>
      </c>
      <c r="S74" s="120" t="s">
        <v>96</v>
      </c>
      <c r="T74" s="121"/>
      <c r="U74" s="228" t="e">
        <f>V74/V68</f>
        <v>#DIV/0!</v>
      </c>
      <c r="V74" s="87">
        <f>'Request #25'!V74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221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30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30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31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221"/>
      <c r="V80" s="55"/>
      <c r="W80" s="55"/>
      <c r="X80" s="138"/>
      <c r="Y80" s="45" t="s">
        <v>108</v>
      </c>
      <c r="Z80" s="43"/>
      <c r="AA80" s="88">
        <f>'Request #25'!AA79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26</v>
      </c>
      <c r="V87" s="55"/>
      <c r="W87" s="55"/>
      <c r="X87" s="138"/>
      <c r="Y87" s="45" t="s">
        <v>108</v>
      </c>
      <c r="Z87" s="43"/>
      <c r="AA87" s="88">
        <f>'Request #25'!AA86</f>
        <v>0</v>
      </c>
      <c r="AB87" s="110"/>
    </row>
    <row r="88" spans="1:28" ht="30" customHeight="1" thickBot="1" x14ac:dyDescent="0.35">
      <c r="S88" s="55"/>
      <c r="T88" s="55"/>
      <c r="U88" s="221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221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221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221"/>
      <c r="V91" s="55"/>
      <c r="W91" s="55"/>
      <c r="X91" s="55"/>
    </row>
    <row r="92" spans="1:28" ht="30" customHeight="1" x14ac:dyDescent="0.3">
      <c r="S92" s="55"/>
      <c r="T92" s="55"/>
      <c r="U92" s="221"/>
      <c r="V92" s="55"/>
      <c r="W92" s="55"/>
      <c r="X92" s="55"/>
    </row>
    <row r="93" spans="1:28" ht="30" customHeight="1" x14ac:dyDescent="0.3">
      <c r="S93" s="55"/>
      <c r="T93" s="55"/>
      <c r="U93" s="221"/>
      <c r="V93" s="55"/>
      <c r="W93" s="55"/>
      <c r="X93" s="55"/>
    </row>
    <row r="94" spans="1:28" ht="30" customHeight="1" x14ac:dyDescent="0.3">
      <c r="S94" s="55"/>
      <c r="T94" s="55"/>
      <c r="U94" s="221"/>
      <c r="V94" s="55"/>
      <c r="W94" s="55"/>
      <c r="X94" s="55"/>
    </row>
    <row r="95" spans="1:28" ht="30" customHeight="1" x14ac:dyDescent="0.3">
      <c r="S95" s="55"/>
      <c r="T95" s="55"/>
      <c r="U95" s="221"/>
      <c r="V95" s="55"/>
      <c r="W95" s="55"/>
      <c r="X95" s="55"/>
    </row>
    <row r="96" spans="1:28" ht="30" customHeight="1" x14ac:dyDescent="0.3">
      <c r="S96" s="55"/>
      <c r="T96" s="55"/>
      <c r="U96" s="221"/>
      <c r="V96" s="55"/>
      <c r="W96" s="55"/>
      <c r="X96" s="55"/>
    </row>
    <row r="97" spans="15:24" ht="30" customHeight="1" x14ac:dyDescent="0.3">
      <c r="S97" s="55"/>
      <c r="T97" s="55"/>
      <c r="U97" s="221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rtHLbVn98rxHaFGTavVDuH9SudaIN3WX3MxZdPPeFuOnfsW5pkqErc9KdwaoxnwE7xdu0EM5oZUEibVY97ZF1Q==" saltValue="Ek3GnaGwWOxanlWldv0Kog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205" priority="10" operator="containsText" text="Change">
      <formula>NOT(ISERROR(SEARCH("Change",R1)))</formula>
    </cfRule>
  </conditionalFormatting>
  <conditionalFormatting sqref="R45:R48">
    <cfRule type="cellIs" dxfId="204" priority="7" operator="equal">
      <formula>"Send in Change Order"</formula>
    </cfRule>
  </conditionalFormatting>
  <conditionalFormatting sqref="W68">
    <cfRule type="cellIs" dxfId="203" priority="2" operator="notEqual">
      <formula>$E$82</formula>
    </cfRule>
    <cfRule type="cellIs" dxfId="202" priority="3" operator="greaterThan">
      <formula>$E$82</formula>
    </cfRule>
    <cfRule type="cellIs" dxfId="201" priority="4" operator="notEqual">
      <formula>$E$82</formula>
    </cfRule>
  </conditionalFormatting>
  <conditionalFormatting sqref="Z12:Z44">
    <cfRule type="cellIs" dxfId="200" priority="8" operator="lessThan">
      <formula>0</formula>
    </cfRule>
  </conditionalFormatting>
  <conditionalFormatting sqref="Z49:Z68">
    <cfRule type="cellIs" dxfId="199" priority="5" operator="lessThan">
      <formula>0</formula>
    </cfRule>
  </conditionalFormatting>
  <conditionalFormatting sqref="AA68">
    <cfRule type="cellIs" dxfId="198" priority="1" operator="notEqual">
      <formula>$O$82</formula>
    </cfRule>
  </conditionalFormatting>
  <conditionalFormatting sqref="AB1:AB1048576">
    <cfRule type="containsText" dxfId="197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2" manualBreakCount="12">
    <brk id="6" max="88" man="1"/>
    <brk id="10" max="1048575" man="1"/>
    <brk id="16" max="88" man="1"/>
    <brk id="18" max="1048575" man="1"/>
    <brk id="27" max="88" man="1"/>
    <brk id="29" max="1048575" man="1"/>
    <brk id="51" max="1048575" man="1"/>
    <brk id="52" max="1048575" man="1"/>
    <brk id="99" max="1048575" man="1"/>
    <brk id="101" max="1048575" man="1"/>
    <brk id="110" max="1048575" man="1"/>
    <brk id="111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664062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6640625" style="50" customWidth="1"/>
    <col min="19" max="19" width="6.109375" style="39" customWidth="1"/>
    <col min="20" max="20" width="30.5546875" style="39" customWidth="1"/>
    <col min="21" max="21" width="17.77734375" style="219" customWidth="1"/>
    <col min="22" max="27" width="18.88671875" style="39" customWidth="1"/>
    <col min="28" max="28" width="25.7773437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220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27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220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220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221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22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23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27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218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#26'!V12,"OK","Send in Change Order")</f>
        <v>OK</v>
      </c>
      <c r="S12" s="85">
        <v>1</v>
      </c>
      <c r="T12" s="86" t="str">
        <f>'Request #26'!T12</f>
        <v>Land/Site Grading &amp; Improv.</v>
      </c>
      <c r="U12" s="218">
        <f>'Request #26'!U12</f>
        <v>0</v>
      </c>
      <c r="V12" s="87">
        <f>'Request #26'!V12</f>
        <v>0</v>
      </c>
      <c r="W12" s="88">
        <f>SUMIF(F7:F79,1,E7:E79)</f>
        <v>0</v>
      </c>
      <c r="X12" s="88">
        <f>'Request #26'!Y12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#26'!AA12,"OK","Alert,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#26'!V13,"OK","Send in Change Order")</f>
        <v>OK</v>
      </c>
      <c r="S13" s="85">
        <v>2</v>
      </c>
      <c r="T13" s="86" t="str">
        <f>'Request #26'!T13</f>
        <v xml:space="preserve">General Contract </v>
      </c>
      <c r="U13" s="218">
        <f>'Request #26'!U13</f>
        <v>0</v>
      </c>
      <c r="V13" s="87">
        <f>'Request #26'!V13</f>
        <v>0</v>
      </c>
      <c r="W13" s="88">
        <f>SUMIF(F7:F79,2,E7:E79)</f>
        <v>0</v>
      </c>
      <c r="X13" s="88">
        <f>'Request #26'!Y13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#26'!AA13,"OK","Alert,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#26'!V14,"OK","Send in Change Order")</f>
        <v>OK</v>
      </c>
      <c r="S14" s="85">
        <v>3</v>
      </c>
      <c r="T14" s="86" t="str">
        <f>'Request #26'!T14</f>
        <v>Designer Contract</v>
      </c>
      <c r="U14" s="218">
        <f>'Request #26'!U14</f>
        <v>0</v>
      </c>
      <c r="V14" s="87">
        <f>'Request #26'!V14</f>
        <v>0</v>
      </c>
      <c r="W14" s="88">
        <f>SUMIF(F7:F79,3,E7:E79)</f>
        <v>0</v>
      </c>
      <c r="X14" s="88">
        <f>'Request #26'!Y14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#26'!AA14,"OK","Alert,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#26'!V15,"OK","Send in Change Order")</f>
        <v>OK</v>
      </c>
      <c r="S15" s="85">
        <v>4</v>
      </c>
      <c r="T15" s="86" t="str">
        <f>'Request #26'!T15</f>
        <v>Designer Reimbursables</v>
      </c>
      <c r="U15" s="218">
        <f>'Request #26'!U15</f>
        <v>0</v>
      </c>
      <c r="V15" s="87">
        <f>'Request #26'!V15</f>
        <v>0</v>
      </c>
      <c r="W15" s="88">
        <f>SUMIF(F7:F79,4,E7:E79)</f>
        <v>0</v>
      </c>
      <c r="X15" s="88">
        <f>'Request #26'!Y15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#26'!AA15,"OK","Alert,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#26'!V16,"OK","Send in Change Order")</f>
        <v>OK</v>
      </c>
      <c r="S16" s="85">
        <v>5</v>
      </c>
      <c r="T16" s="86" t="str">
        <f>'Request #26'!T16</f>
        <v>Other Contracts</v>
      </c>
      <c r="U16" s="218">
        <f>'Request #26'!U16</f>
        <v>0</v>
      </c>
      <c r="V16" s="87">
        <f>'Request #26'!V16</f>
        <v>0</v>
      </c>
      <c r="W16" s="88">
        <f>SUMIF(F7:F79,5,E7:E79)</f>
        <v>0</v>
      </c>
      <c r="X16" s="88">
        <f>'Request #26'!Y16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#26'!AA16,"OK","Alert,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#26'!V17,"OK","Send in Change Order")</f>
        <v>OK</v>
      </c>
      <c r="S17" s="85">
        <v>6</v>
      </c>
      <c r="T17" s="86" t="str">
        <f>'Request #26'!T17</f>
        <v>Other Contracts</v>
      </c>
      <c r="U17" s="218">
        <f>'Request #26'!U17</f>
        <v>0</v>
      </c>
      <c r="V17" s="87">
        <f>'Request #26'!V17</f>
        <v>0</v>
      </c>
      <c r="W17" s="88">
        <f>SUMIF(F7:F79,6,E7:E79)</f>
        <v>0</v>
      </c>
      <c r="X17" s="88">
        <f>'Request #26'!Y17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#26'!AA17,"OK","Alert,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#26'!V18,"OK","Send in Change Order")</f>
        <v>OK</v>
      </c>
      <c r="S18" s="85">
        <v>7</v>
      </c>
      <c r="T18" s="86" t="str">
        <f>'Request #26'!T18</f>
        <v>Other Contracts</v>
      </c>
      <c r="U18" s="218">
        <f>'Request #26'!U18</f>
        <v>0</v>
      </c>
      <c r="V18" s="87">
        <f>'Request #26'!V18</f>
        <v>0</v>
      </c>
      <c r="W18" s="88">
        <f>SUMIF(F7:F79,7,E7:E79)</f>
        <v>0</v>
      </c>
      <c r="X18" s="88">
        <f>'Request #26'!Y18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#26'!AA18,"OK","Alert,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#26'!V19,"OK","Send in Change Order")</f>
        <v>OK</v>
      </c>
      <c r="S19" s="85">
        <v>8</v>
      </c>
      <c r="T19" s="86" t="str">
        <f>'Request #26'!T19</f>
        <v>Other Contracts</v>
      </c>
      <c r="U19" s="218">
        <f>'Request #26'!U19</f>
        <v>0</v>
      </c>
      <c r="V19" s="87">
        <f>'Request #26'!V19</f>
        <v>0</v>
      </c>
      <c r="W19" s="88">
        <f>SUMIF(F7:F79,8,E7:E79)</f>
        <v>0</v>
      </c>
      <c r="X19" s="88">
        <f>'Request #26'!Y19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#26'!AA19,"OK","Alert,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#26'!V20,"OK","Send in Change Order")</f>
        <v>OK</v>
      </c>
      <c r="S20" s="85">
        <v>9</v>
      </c>
      <c r="T20" s="86" t="str">
        <f>'Request #26'!T20</f>
        <v>Other Contracts</v>
      </c>
      <c r="U20" s="218">
        <f>'Request #26'!U20</f>
        <v>0</v>
      </c>
      <c r="V20" s="87">
        <f>'Request #26'!V20</f>
        <v>0</v>
      </c>
      <c r="W20" s="88">
        <f>SUMIF(F7:F79,9,E7:E79)</f>
        <v>0</v>
      </c>
      <c r="X20" s="88">
        <f>'Request #26'!Y20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#26'!AA20,"OK","Alert,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#26'!V21,"OK","Send in Change Order")</f>
        <v>OK</v>
      </c>
      <c r="S21" s="85">
        <v>10</v>
      </c>
      <c r="T21" s="86" t="str">
        <f>'Request #26'!T21</f>
        <v>Other Contracts</v>
      </c>
      <c r="U21" s="218">
        <f>'Request #26'!U21</f>
        <v>0</v>
      </c>
      <c r="V21" s="87">
        <f>'Request #26'!V21</f>
        <v>0</v>
      </c>
      <c r="W21" s="88">
        <f>SUMIF(F7:F79,10,E7:E79)</f>
        <v>0</v>
      </c>
      <c r="X21" s="88">
        <f>'Request #26'!Y21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#26'!AA21,"OK","Alert,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#26'!V22,"OK","Send in Change Order")</f>
        <v>OK</v>
      </c>
      <c r="S22" s="85">
        <v>11</v>
      </c>
      <c r="T22" s="86" t="str">
        <f>'Request #26'!T22</f>
        <v>Other Contracts</v>
      </c>
      <c r="U22" s="218">
        <f>'Request #26'!U22</f>
        <v>0</v>
      </c>
      <c r="V22" s="87">
        <f>'Request #26'!V22</f>
        <v>0</v>
      </c>
      <c r="W22" s="88">
        <f>SUMIF(F7:F79,11,E7:E79)</f>
        <v>0</v>
      </c>
      <c r="X22" s="88">
        <f>'Request #26'!Y22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#26'!AA22,"OK","Alert,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#26'!V23,"OK","Send in Change Order")</f>
        <v>OK</v>
      </c>
      <c r="S23" s="85">
        <v>12</v>
      </c>
      <c r="T23" s="86" t="str">
        <f>'Request #26'!T23</f>
        <v>Other Contracts</v>
      </c>
      <c r="U23" s="218">
        <f>'Request #26'!U23</f>
        <v>0</v>
      </c>
      <c r="V23" s="87">
        <f>'Request #26'!V23</f>
        <v>0</v>
      </c>
      <c r="W23" s="88">
        <f>SUMIF(F7:F79,12,E7:E79)</f>
        <v>0</v>
      </c>
      <c r="X23" s="88">
        <f>'Request #26'!Y23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#26'!AA23,"OK","Alert,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#26'!V24,"OK","Send in Change Order")</f>
        <v>OK</v>
      </c>
      <c r="S24" s="85">
        <v>13</v>
      </c>
      <c r="T24" s="86" t="str">
        <f>'Request #26'!T24</f>
        <v>Other Contracts</v>
      </c>
      <c r="U24" s="218">
        <f>'Request #26'!U24</f>
        <v>0</v>
      </c>
      <c r="V24" s="87">
        <f>'Request #26'!V24</f>
        <v>0</v>
      </c>
      <c r="W24" s="88">
        <f>SUMIF(F7:F79,13,E7:E79)</f>
        <v>0</v>
      </c>
      <c r="X24" s="88">
        <f>'Request #26'!Y24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#26'!AA24,"OK","Alert,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#26'!V25,"OK","Send in Change Order")</f>
        <v>OK</v>
      </c>
      <c r="S25" s="85">
        <v>14</v>
      </c>
      <c r="T25" s="86" t="str">
        <f>'Request #26'!T25</f>
        <v>Other Contracts</v>
      </c>
      <c r="U25" s="218">
        <f>'Request #26'!U25</f>
        <v>0</v>
      </c>
      <c r="V25" s="87">
        <f>'Request #26'!V25</f>
        <v>0</v>
      </c>
      <c r="W25" s="88">
        <f>SUMIF(F7:F79,14,E7:E79)</f>
        <v>0</v>
      </c>
      <c r="X25" s="88">
        <f>'Request #26'!Y25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#26'!AA25,"OK","Alert,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#26'!V26,"OK","Send in Change Order")</f>
        <v>OK</v>
      </c>
      <c r="S26" s="85">
        <v>15</v>
      </c>
      <c r="T26" s="86" t="str">
        <f>'Request #26'!T26</f>
        <v>Other Contracts</v>
      </c>
      <c r="U26" s="218">
        <f>'Request #26'!U26</f>
        <v>0</v>
      </c>
      <c r="V26" s="87">
        <f>'Request #26'!V26</f>
        <v>0</v>
      </c>
      <c r="W26" s="88">
        <f>SUMIF(F7:F79,15,E7:E79)</f>
        <v>0</v>
      </c>
      <c r="X26" s="88">
        <f>'Request #26'!Y26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#26'!AA26,"OK","Alert,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#26'!V27,"OK","Send in Change Order")</f>
        <v>OK</v>
      </c>
      <c r="S27" s="85">
        <v>16</v>
      </c>
      <c r="T27" s="86" t="str">
        <f>'Request #26'!T27</f>
        <v>Other Contracts</v>
      </c>
      <c r="U27" s="218">
        <f>'Request #26'!U27</f>
        <v>0</v>
      </c>
      <c r="V27" s="87">
        <f>'Request #26'!V27</f>
        <v>0</v>
      </c>
      <c r="W27" s="88">
        <f>SUMIF(F7:F79,16,E7:E79)</f>
        <v>0</v>
      </c>
      <c r="X27" s="88">
        <f>'Request #26'!Y27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#26'!AA27,"OK","Alert,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#26'!V28,"OK","Send in Change Order")</f>
        <v>OK</v>
      </c>
      <c r="S28" s="85">
        <v>17</v>
      </c>
      <c r="T28" s="86" t="str">
        <f>'Request #26'!T28</f>
        <v>Other Contracts</v>
      </c>
      <c r="U28" s="218">
        <f>'Request #26'!U28</f>
        <v>0</v>
      </c>
      <c r="V28" s="87">
        <f>'Request #26'!V28</f>
        <v>0</v>
      </c>
      <c r="W28" s="88">
        <f>SUMIF(F7:F79,17,E7:E79)</f>
        <v>0</v>
      </c>
      <c r="X28" s="88">
        <f>'Request #26'!Y28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#26'!AA28,"OK","Alert,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#26'!V29,"OK","Send in Change Order")</f>
        <v>OK</v>
      </c>
      <c r="S29" s="85">
        <v>18</v>
      </c>
      <c r="T29" s="86" t="str">
        <f>'Request #26'!T29</f>
        <v>Other Contracts</v>
      </c>
      <c r="U29" s="218">
        <f>'Request #26'!U29</f>
        <v>0</v>
      </c>
      <c r="V29" s="87">
        <f>'Request #26'!V29</f>
        <v>0</v>
      </c>
      <c r="W29" s="88">
        <f>SUMIF(F7:F79,18,E7:E79)</f>
        <v>0</v>
      </c>
      <c r="X29" s="88">
        <f>'Request #26'!Y29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#26'!AA29,"OK","Alert,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#26'!V30,"OK","Send in Change Order")</f>
        <v>OK</v>
      </c>
      <c r="S30" s="85">
        <v>19</v>
      </c>
      <c r="T30" s="86" t="str">
        <f>'Request #26'!T30</f>
        <v>Other Contracts</v>
      </c>
      <c r="U30" s="218">
        <f>'Request #26'!U30</f>
        <v>0</v>
      </c>
      <c r="V30" s="87">
        <f>'Request #26'!V30</f>
        <v>0</v>
      </c>
      <c r="W30" s="88">
        <f>SUMIF(F7:F79,19,E7:E79)</f>
        <v>0</v>
      </c>
      <c r="X30" s="88">
        <f>'Request #26'!Y30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#26'!AA30,"OK","Alert,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#26'!V31,"OK","Send in Change Order")</f>
        <v>OK</v>
      </c>
      <c r="S31" s="85">
        <v>20</v>
      </c>
      <c r="T31" s="86" t="str">
        <f>'Request #26'!T31</f>
        <v>Other Contracts</v>
      </c>
      <c r="U31" s="218">
        <f>'Request #26'!U31</f>
        <v>0</v>
      </c>
      <c r="V31" s="87">
        <f>'Request #26'!V31</f>
        <v>0</v>
      </c>
      <c r="W31" s="88">
        <f>SUMIF(F7:F79,20,E7:E79)</f>
        <v>0</v>
      </c>
      <c r="X31" s="88">
        <f>'Request #26'!Y31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#26'!AA31,"OK","Alert,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#26'!V32,"OK","Send in Change Order")</f>
        <v>OK</v>
      </c>
      <c r="S32" s="85">
        <v>21</v>
      </c>
      <c r="T32" s="86" t="str">
        <f>'Request #26'!T32</f>
        <v>Other Contracts</v>
      </c>
      <c r="U32" s="218">
        <f>'Request #26'!U32</f>
        <v>0</v>
      </c>
      <c r="V32" s="87">
        <f>'Request #26'!V32</f>
        <v>0</v>
      </c>
      <c r="W32" s="88">
        <f>SUMIF(F7:F79,21,E7:E79)</f>
        <v>0</v>
      </c>
      <c r="X32" s="88">
        <f>'Request #26'!Y32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#26'!AA32,"OK","Alert,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#26'!V33,"OK","Send in Change Order")</f>
        <v>OK</v>
      </c>
      <c r="S33" s="85">
        <v>22</v>
      </c>
      <c r="T33" s="86" t="str">
        <f>'Request #26'!T33</f>
        <v>Other Contracts</v>
      </c>
      <c r="U33" s="218">
        <f>'Request #26'!U33</f>
        <v>0</v>
      </c>
      <c r="V33" s="87">
        <f>'Request #26'!V33</f>
        <v>0</v>
      </c>
      <c r="W33" s="88">
        <f>SUMIF(F7:F79,22,E7:E79)</f>
        <v>0</v>
      </c>
      <c r="X33" s="88">
        <f>'Request #26'!Y33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#26'!AA33,"OK","Alert,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#26'!V34,"OK","Send in Change Order")</f>
        <v>OK</v>
      </c>
      <c r="S34" s="85">
        <v>23</v>
      </c>
      <c r="T34" s="86" t="str">
        <f>'Request #26'!T34</f>
        <v>Other Contracts</v>
      </c>
      <c r="U34" s="218">
        <f>'Request #26'!U34</f>
        <v>0</v>
      </c>
      <c r="V34" s="87">
        <f>'Request #26'!V34</f>
        <v>0</v>
      </c>
      <c r="W34" s="88">
        <f>SUMIF(F7:F79,23,E7:E79)</f>
        <v>0</v>
      </c>
      <c r="X34" s="88">
        <f>'Request #26'!Y34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#26'!AA34,"OK","Alert,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#26'!V35,"OK","Send in Change Order")</f>
        <v>OK</v>
      </c>
      <c r="S35" s="85">
        <v>24</v>
      </c>
      <c r="T35" s="86" t="str">
        <f>'Request #26'!T35</f>
        <v>Other Contracts</v>
      </c>
      <c r="U35" s="218">
        <f>'Request #26'!U35</f>
        <v>0</v>
      </c>
      <c r="V35" s="87">
        <f>'Request #26'!V35</f>
        <v>0</v>
      </c>
      <c r="W35" s="88">
        <f>SUMIF(F7:F79,24,E7:E79)</f>
        <v>0</v>
      </c>
      <c r="X35" s="88">
        <f>'Request #26'!Y35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#26'!AA35,"OK","Alert,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#26'!V36,"OK","Send in Change Order")</f>
        <v>OK</v>
      </c>
      <c r="S36" s="85">
        <v>25</v>
      </c>
      <c r="T36" s="86" t="str">
        <f>'Request #26'!T36</f>
        <v>Other Contracts</v>
      </c>
      <c r="U36" s="218">
        <f>'Request #26'!U36</f>
        <v>0</v>
      </c>
      <c r="V36" s="87">
        <f>'Request #26'!V36</f>
        <v>0</v>
      </c>
      <c r="W36" s="88">
        <f>SUMIF(F7:F79,25,E7:E79)</f>
        <v>0</v>
      </c>
      <c r="X36" s="88">
        <f>'Request #26'!Y36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#26'!AA36,"OK","Alert,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#26'!V37,"OK","Send in Change Order")</f>
        <v>OK</v>
      </c>
      <c r="S37" s="85">
        <v>26</v>
      </c>
      <c r="T37" s="86" t="str">
        <f>'Request #26'!T37</f>
        <v>Other Fees</v>
      </c>
      <c r="U37" s="218">
        <f>'Request #26'!U37</f>
        <v>0</v>
      </c>
      <c r="V37" s="87">
        <f>'Request #26'!V37</f>
        <v>0</v>
      </c>
      <c r="W37" s="88">
        <f>SUMIF(F7:F79,26,E7:E79)</f>
        <v>0</v>
      </c>
      <c r="X37" s="88">
        <f>'Request #26'!Y37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#26'!AA37,"OK","Alert,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#26'!V38,"OK","Send in Change Order")</f>
        <v>OK</v>
      </c>
      <c r="S38" s="85">
        <v>27</v>
      </c>
      <c r="T38" s="86" t="str">
        <f>'Request #26'!T38</f>
        <v>Other Fees</v>
      </c>
      <c r="U38" s="218">
        <f>'Request #26'!U38</f>
        <v>0</v>
      </c>
      <c r="V38" s="87">
        <f>'Request #26'!V38</f>
        <v>0</v>
      </c>
      <c r="W38" s="88">
        <f>SUMIF(F7:F79,27,E7:E79)</f>
        <v>0</v>
      </c>
      <c r="X38" s="88">
        <f>'Request #26'!Y38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#26'!AA38,"OK","Alert,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#26'!V39,"OK","Send in Change Order")</f>
        <v>OK</v>
      </c>
      <c r="S39" s="85">
        <v>28</v>
      </c>
      <c r="T39" s="86" t="str">
        <f>'Request #26'!T39</f>
        <v>Other Fees</v>
      </c>
      <c r="U39" s="218">
        <f>'Request #26'!U39</f>
        <v>0</v>
      </c>
      <c r="V39" s="87">
        <f>'Request #26'!V39</f>
        <v>0</v>
      </c>
      <c r="W39" s="88">
        <f>SUMIF(F7:F79,28,E7:E79)</f>
        <v>0</v>
      </c>
      <c r="X39" s="88">
        <f>'Request #26'!Y39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#26'!AA39,"OK","Alert,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#26'!V40,"OK","Send in Change Order")</f>
        <v>OK</v>
      </c>
      <c r="S40" s="85">
        <v>29</v>
      </c>
      <c r="T40" s="86" t="str">
        <f>'Request #26'!T40</f>
        <v>Other Fees</v>
      </c>
      <c r="U40" s="218">
        <f>'Request #26'!U40</f>
        <v>0</v>
      </c>
      <c r="V40" s="87">
        <f>'Request #26'!V40</f>
        <v>0</v>
      </c>
      <c r="W40" s="88">
        <f>SUMIF(F7:F79,29,E7:E79)</f>
        <v>0</v>
      </c>
      <c r="X40" s="88">
        <f>'Request #26'!Y40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#26'!AA40,"OK","Alert,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#26'!V41,"OK","Send in Change Order")</f>
        <v>OK</v>
      </c>
      <c r="S41" s="85">
        <v>30</v>
      </c>
      <c r="T41" s="86" t="str">
        <f>'Request #26'!T41</f>
        <v>Other Fees</v>
      </c>
      <c r="U41" s="218">
        <f>'Request #26'!U41</f>
        <v>0</v>
      </c>
      <c r="V41" s="87">
        <f>'Request #26'!V41</f>
        <v>0</v>
      </c>
      <c r="W41" s="88">
        <f>SUMIF(F7:F79,30,E7:E79)</f>
        <v>0</v>
      </c>
      <c r="X41" s="88">
        <f>'Request #26'!Y41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#26'!AA41,"OK","Alert,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#26'!V42,"OK","Send in Change Order")</f>
        <v>OK</v>
      </c>
      <c r="S42" s="85">
        <v>31</v>
      </c>
      <c r="T42" s="86" t="str">
        <f>'Request #26'!T42</f>
        <v>Other Fees</v>
      </c>
      <c r="U42" s="218">
        <f>'Request #26'!U42</f>
        <v>0</v>
      </c>
      <c r="V42" s="87">
        <f>'Request #26'!V42</f>
        <v>0</v>
      </c>
      <c r="W42" s="88">
        <f>SUMIF(F7:F79,31,E7:E79)</f>
        <v>0</v>
      </c>
      <c r="X42" s="88">
        <f>'Request #26'!Y42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#26'!AA42,"OK","Alert,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#26'!V43,"OK","Send in Change Order")</f>
        <v>OK</v>
      </c>
      <c r="S43" s="85">
        <v>32</v>
      </c>
      <c r="T43" s="86" t="str">
        <f>'Request #26'!T43</f>
        <v>Other Fees</v>
      </c>
      <c r="U43" s="218">
        <f>'Request #26'!U43</f>
        <v>0</v>
      </c>
      <c r="V43" s="87">
        <f>'Request #26'!V43</f>
        <v>0</v>
      </c>
      <c r="W43" s="88">
        <f>SUMIF(F7:F79,32,E7:E79)</f>
        <v>0</v>
      </c>
      <c r="X43" s="88">
        <f>'Request #26'!Y43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#26'!AA43,"OK","Alert,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#26'!V44,"OK","Send in Change Order")</f>
        <v>OK</v>
      </c>
      <c r="S44" s="85">
        <v>33</v>
      </c>
      <c r="T44" s="86" t="str">
        <f>'Request #26'!T44</f>
        <v>Other Fees</v>
      </c>
      <c r="U44" s="218">
        <f>'Request #26'!U44</f>
        <v>0</v>
      </c>
      <c r="V44" s="87">
        <f>'Request #26'!V44</f>
        <v>0</v>
      </c>
      <c r="W44" s="88">
        <f>SUMIF(F7:F79,33,E7:E79)</f>
        <v>0</v>
      </c>
      <c r="X44" s="88">
        <f>'Request #26'!Y44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#26'!AA44,"OK","Alert,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#26'!V49,"OK","Send in Change Order")</f>
        <v>OK</v>
      </c>
      <c r="S49" s="85">
        <v>38</v>
      </c>
      <c r="T49" s="86" t="str">
        <f>'Request #26'!T49</f>
        <v>Other Fees</v>
      </c>
      <c r="U49" s="218">
        <f>'Request #26'!U49</f>
        <v>0</v>
      </c>
      <c r="V49" s="87">
        <f>'Request #26'!V49</f>
        <v>0</v>
      </c>
      <c r="W49" s="88">
        <f>SUMIF(F7:F79,38,E7:E79)</f>
        <v>0</v>
      </c>
      <c r="X49" s="88">
        <f>'Request #26'!Y49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#26'!AA49,"OK","Alert,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#26'!V50,"OK","Send in Change Order")</f>
        <v>OK</v>
      </c>
      <c r="S50" s="85">
        <v>39</v>
      </c>
      <c r="T50" s="86" t="str">
        <f>'Request #26'!T50</f>
        <v>Other Fees</v>
      </c>
      <c r="U50" s="218">
        <f>'Request #26'!U50</f>
        <v>0</v>
      </c>
      <c r="V50" s="87">
        <f>'Request #26'!V50</f>
        <v>0</v>
      </c>
      <c r="W50" s="88">
        <f>SUMIF(F7:F79,39,E7:E79)</f>
        <v>0</v>
      </c>
      <c r="X50" s="88">
        <f>'Request #26'!Y50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#26'!AA50,"OK","Alert,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#26'!V51,"OK","Send in Change Order")</f>
        <v>OK</v>
      </c>
      <c r="S51" s="85">
        <v>40</v>
      </c>
      <c r="T51" s="86" t="str">
        <f>'Request #26'!T51</f>
        <v>Other Fees</v>
      </c>
      <c r="U51" s="218">
        <f>'Request #26'!U51</f>
        <v>0</v>
      </c>
      <c r="V51" s="87">
        <f>'Request #26'!V51</f>
        <v>0</v>
      </c>
      <c r="W51" s="88">
        <f>SUMIF(F7:F79,40,E7:E79)</f>
        <v>0</v>
      </c>
      <c r="X51" s="88">
        <f>'Request #26'!Y51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#26'!AA51,"OK","Alert,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#26'!V52,"OK","Send in Change Order")</f>
        <v>OK</v>
      </c>
      <c r="S52" s="85">
        <v>41</v>
      </c>
      <c r="T52" s="86" t="str">
        <f>'Request #26'!T52</f>
        <v>Other Fees</v>
      </c>
      <c r="U52" s="218">
        <f>'Request #26'!U52</f>
        <v>0</v>
      </c>
      <c r="V52" s="87">
        <f>'Request #26'!V52</f>
        <v>0</v>
      </c>
      <c r="W52" s="88">
        <f>SUMIF(F7:F79,41,E7:E79)</f>
        <v>0</v>
      </c>
      <c r="X52" s="88">
        <f>'Request #26'!Y52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#26'!AA52,"OK","Alert,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#26'!V53,"OK","Send in Change Order")</f>
        <v>OK</v>
      </c>
      <c r="S53" s="85">
        <v>42</v>
      </c>
      <c r="T53" s="86" t="str">
        <f>'Request #26'!T53</f>
        <v>Other Fees</v>
      </c>
      <c r="U53" s="218">
        <f>'Request #26'!U53</f>
        <v>0</v>
      </c>
      <c r="V53" s="87">
        <f>'Request #26'!V53</f>
        <v>0</v>
      </c>
      <c r="W53" s="88">
        <f>SUMIF(F7:F79,42,E7:E79)</f>
        <v>0</v>
      </c>
      <c r="X53" s="88">
        <f>'Request #26'!Y53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#26'!AA53,"OK","Alert,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#26'!V54,"OK","Send in Change Order")</f>
        <v>OK</v>
      </c>
      <c r="S54" s="85">
        <v>43</v>
      </c>
      <c r="T54" s="86" t="str">
        <f>'Request #26'!T54</f>
        <v>Other Fees</v>
      </c>
      <c r="U54" s="218">
        <f>'Request #26'!U54</f>
        <v>0</v>
      </c>
      <c r="V54" s="87">
        <f>'Request #26'!V54</f>
        <v>0</v>
      </c>
      <c r="W54" s="88">
        <f>SUMIF(F7:F79,43,E7:E79)</f>
        <v>0</v>
      </c>
      <c r="X54" s="88">
        <f>'Request #26'!Y54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#26'!AA54,"OK","Alert,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#26'!V55,"OK","Send in Change Order")</f>
        <v>OK</v>
      </c>
      <c r="S55" s="85">
        <v>44</v>
      </c>
      <c r="T55" s="86" t="str">
        <f>'Request #26'!T55</f>
        <v>Other Fees</v>
      </c>
      <c r="U55" s="218">
        <f>'Request #26'!U55</f>
        <v>0</v>
      </c>
      <c r="V55" s="87">
        <f>'Request #26'!V55</f>
        <v>0</v>
      </c>
      <c r="W55" s="88">
        <f>SUMIF(F7:F79,44,E7:E79)</f>
        <v>0</v>
      </c>
      <c r="X55" s="88">
        <f>'Request #26'!Y55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#26'!AA55,"OK","Alert,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#26'!V56,"OK","Send in Change Order")</f>
        <v>OK</v>
      </c>
      <c r="S56" s="85">
        <v>45</v>
      </c>
      <c r="T56" s="86" t="str">
        <f>'Request #26'!T56</f>
        <v>Other Fees</v>
      </c>
      <c r="U56" s="218">
        <f>'Request #26'!U56</f>
        <v>0</v>
      </c>
      <c r="V56" s="87">
        <f>'Request #26'!V56</f>
        <v>0</v>
      </c>
      <c r="W56" s="88">
        <f>SUMIF(F7:F79,45,E7:E79)</f>
        <v>0</v>
      </c>
      <c r="X56" s="88">
        <f>'Request #26'!Y56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#26'!AA56,"OK","Alert,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#26'!V57,"OK","Send in Change Order")</f>
        <v>OK</v>
      </c>
      <c r="S57" s="85">
        <v>46</v>
      </c>
      <c r="T57" s="86" t="str">
        <f>'Request #26'!T57</f>
        <v>Other Fees</v>
      </c>
      <c r="U57" s="218">
        <f>'Request #26'!U57</f>
        <v>0</v>
      </c>
      <c r="V57" s="87">
        <f>'Request #26'!V57</f>
        <v>0</v>
      </c>
      <c r="W57" s="88">
        <f>SUMIF(F7:F79,46,E7:E79)</f>
        <v>0</v>
      </c>
      <c r="X57" s="88">
        <f>'Request #26'!Y57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#26'!AA57,"OK","Alert,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#26'!V58,"OK","Send in Change Order")</f>
        <v>OK</v>
      </c>
      <c r="S58" s="85">
        <v>47</v>
      </c>
      <c r="T58" s="86" t="str">
        <f>'Request #26'!T58</f>
        <v>Other Fees</v>
      </c>
      <c r="U58" s="218">
        <f>'Request #26'!U58</f>
        <v>0</v>
      </c>
      <c r="V58" s="87">
        <f>'Request #26'!V58</f>
        <v>0</v>
      </c>
      <c r="W58" s="88">
        <f>SUMIF(F7:F79,47,E7:E79)</f>
        <v>0</v>
      </c>
      <c r="X58" s="88">
        <f>'Request #26'!Y58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#26'!AA58,"OK","Alert,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#26'!V59,"OK","Send in Change Order")</f>
        <v>OK</v>
      </c>
      <c r="S59" s="85">
        <v>48</v>
      </c>
      <c r="T59" s="86" t="str">
        <f>'Request #26'!T59</f>
        <v>Other Fees</v>
      </c>
      <c r="U59" s="218">
        <f>'Request #26'!U59</f>
        <v>0</v>
      </c>
      <c r="V59" s="87">
        <f>'Request #26'!V59</f>
        <v>0</v>
      </c>
      <c r="W59" s="88">
        <f>SUMIF(F7:F79,48,E7:E79)</f>
        <v>0</v>
      </c>
      <c r="X59" s="88">
        <f>'Request #26'!Y59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#26'!AA59,"OK","Alert,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#26'!V60,"OK","Send in Change Order")</f>
        <v>OK</v>
      </c>
      <c r="S60" s="85">
        <v>49</v>
      </c>
      <c r="T60" s="86" t="str">
        <f>'Request #26'!T60</f>
        <v>Other Fees</v>
      </c>
      <c r="U60" s="218">
        <f>'Request #26'!U60</f>
        <v>0</v>
      </c>
      <c r="V60" s="87">
        <f>'Request #26'!V60</f>
        <v>0</v>
      </c>
      <c r="W60" s="88">
        <f>SUMIF(F7:F79,49,E7:E79)</f>
        <v>0</v>
      </c>
      <c r="X60" s="88">
        <f>'Request #26'!Y60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#26'!AA60,"OK","Alert,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#26'!V61,"OK","Send in Change Order")</f>
        <v>OK</v>
      </c>
      <c r="S61" s="85">
        <v>50</v>
      </c>
      <c r="T61" s="86" t="str">
        <f>'Request #26'!T61</f>
        <v>Other Fees</v>
      </c>
      <c r="U61" s="218">
        <f>'Request #26'!U61</f>
        <v>0</v>
      </c>
      <c r="V61" s="87">
        <f>'Request #26'!V61</f>
        <v>0</v>
      </c>
      <c r="W61" s="88">
        <f>SUMIF(F7:F79,50,E7:E79)</f>
        <v>0</v>
      </c>
      <c r="X61" s="88">
        <f>'Request #26'!Y61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#26'!AA61,"OK","Alert,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#26'!V62,"OK","Send in Change Order")</f>
        <v>OK</v>
      </c>
      <c r="S62" s="85">
        <v>51</v>
      </c>
      <c r="T62" s="86" t="str">
        <f>'Request #26'!T62</f>
        <v>Other Fees</v>
      </c>
      <c r="U62" s="218">
        <f>'Request #26'!U62</f>
        <v>0</v>
      </c>
      <c r="V62" s="87">
        <f>'Request #26'!V62</f>
        <v>0</v>
      </c>
      <c r="W62" s="88">
        <f>SUMIF(F7:F79,51,E7:E79)</f>
        <v>0</v>
      </c>
      <c r="X62" s="88">
        <f>'Request #26'!Y62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#26'!AA62,"OK","Alert,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#26'!V63,"OK","Send in Change Order")</f>
        <v>OK</v>
      </c>
      <c r="S63" s="85">
        <v>52</v>
      </c>
      <c r="T63" s="86" t="str">
        <f>'Request #26'!T63</f>
        <v>Worked Performed by Owner</v>
      </c>
      <c r="U63" s="218">
        <f>'Request #26'!U63</f>
        <v>0</v>
      </c>
      <c r="V63" s="87">
        <f>'Request #26'!V63</f>
        <v>0</v>
      </c>
      <c r="W63" s="88">
        <f>SUMIF(F7:F79,52,E7:E79)</f>
        <v>0</v>
      </c>
      <c r="X63" s="88">
        <f>'Request #26'!Y63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#26'!AA63,"OK","Alert,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#26'!V64,"OK","Send in Change Order")</f>
        <v>OK</v>
      </c>
      <c r="S64" s="85">
        <v>53</v>
      </c>
      <c r="T64" s="86" t="str">
        <f>'Request #26'!T64</f>
        <v>Equipment (Major)</v>
      </c>
      <c r="U64" s="218">
        <f>'Request #26'!U64</f>
        <v>0</v>
      </c>
      <c r="V64" s="87">
        <f>'Request #26'!V64</f>
        <v>0</v>
      </c>
      <c r="W64" s="88">
        <f>SUMIF(F7:F79,53,E7:E79)</f>
        <v>0</v>
      </c>
      <c r="X64" s="88">
        <f>'Request #26'!Y64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#26'!AA64,"OK","Alert,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#26'!V65,"OK","Send in Change Order")</f>
        <v>OK</v>
      </c>
      <c r="S65" s="85">
        <v>54</v>
      </c>
      <c r="T65" s="165" t="s">
        <v>90</v>
      </c>
      <c r="U65" s="218">
        <f>'Request #26'!U65</f>
        <v>0</v>
      </c>
      <c r="V65" s="87">
        <f>'Request #26'!V65</f>
        <v>0</v>
      </c>
      <c r="W65" s="104"/>
      <c r="X65" s="88">
        <f>'Request #26'!Y65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#26'!AA65,"OK","Alert,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#26'!V66,"OK","Send in Change Order")</f>
        <v>OK</v>
      </c>
      <c r="S66" s="85">
        <v>55</v>
      </c>
      <c r="T66" s="86"/>
      <c r="U66" s="218">
        <f>'Request #26'!U66</f>
        <v>0</v>
      </c>
      <c r="V66" s="87">
        <f>'Request #26'!V66</f>
        <v>0</v>
      </c>
      <c r="W66" s="88">
        <f>SUMIF(F7:F79,55,E7:E79)</f>
        <v>0</v>
      </c>
      <c r="X66" s="88">
        <f>'Request #26'!Y66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#26'!AA66,"OK","Alert,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#26'!V67,"OK","Send in Change Order")</f>
        <v>OK</v>
      </c>
      <c r="S67" s="85">
        <v>56</v>
      </c>
      <c r="T67" s="79"/>
      <c r="U67" s="218">
        <f>'Request #26'!U67</f>
        <v>0</v>
      </c>
      <c r="V67" s="87">
        <f>'Request #26'!V67</f>
        <v>0</v>
      </c>
      <c r="W67" s="88">
        <f>SUMIF(F7:F79,56,E7:E79)</f>
        <v>0</v>
      </c>
      <c r="X67" s="88">
        <f>'Request #26'!Y67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#26'!AA67,"OK","Alert,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#26'!V68,"OK","Send in Change Order")</f>
        <v>OK</v>
      </c>
      <c r="S68" s="316" t="s">
        <v>60</v>
      </c>
      <c r="T68" s="317"/>
      <c r="U68" s="224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#26'!AA68,"OK","Alert,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25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226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27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28" t="e">
        <f>V72/V68</f>
        <v>#DIV/0!</v>
      </c>
      <c r="V72" s="88">
        <f>V68-V74-V73</f>
        <v>0</v>
      </c>
      <c r="W72" s="87">
        <v>0</v>
      </c>
      <c r="X72" s="168">
        <f>'Request #26'!Y72</f>
        <v>0</v>
      </c>
      <c r="Y72" s="168">
        <f t="shared" ref="Y72:Y73" si="8">W72+X72</f>
        <v>0</v>
      </c>
      <c r="Z72" s="16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#26'!V73,"OK","Send in Change Order")</f>
        <v>OK</v>
      </c>
      <c r="S73" s="86" t="s">
        <v>95</v>
      </c>
      <c r="T73" s="114"/>
      <c r="U73" s="228" t="e">
        <f>V73/V68</f>
        <v>#DIV/0!</v>
      </c>
      <c r="V73" s="87">
        <f>'Request #26'!V73</f>
        <v>0</v>
      </c>
      <c r="W73" s="87">
        <v>0</v>
      </c>
      <c r="X73" s="168">
        <f>'Request #26'!Y73</f>
        <v>0</v>
      </c>
      <c r="Y73" s="168">
        <f t="shared" si="8"/>
        <v>0</v>
      </c>
      <c r="Z73" s="16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#26'!V74,"OK","Send in Change Order")</f>
        <v>OK</v>
      </c>
      <c r="S74" s="120" t="s">
        <v>96</v>
      </c>
      <c r="T74" s="121"/>
      <c r="U74" s="228" t="e">
        <f>V74/V68</f>
        <v>#DIV/0!</v>
      </c>
      <c r="V74" s="87">
        <f>'Request #26'!V74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221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30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30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31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221"/>
      <c r="V80" s="55"/>
      <c r="W80" s="55"/>
      <c r="X80" s="138"/>
      <c r="Y80" s="45" t="s">
        <v>108</v>
      </c>
      <c r="Z80" s="43"/>
      <c r="AA80" s="88">
        <f>'Request #26'!AA79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27</v>
      </c>
      <c r="V87" s="55"/>
      <c r="W87" s="55"/>
      <c r="X87" s="138"/>
      <c r="Y87" s="45" t="s">
        <v>108</v>
      </c>
      <c r="Z87" s="43"/>
      <c r="AA87" s="88">
        <f>'Request #26'!AA86</f>
        <v>0</v>
      </c>
      <c r="AB87" s="110"/>
    </row>
    <row r="88" spans="1:28" ht="30" customHeight="1" thickBot="1" x14ac:dyDescent="0.35">
      <c r="S88" s="55"/>
      <c r="T88" s="55"/>
      <c r="U88" s="221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221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221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221"/>
      <c r="V91" s="55"/>
      <c r="W91" s="55"/>
      <c r="X91" s="55"/>
    </row>
    <row r="92" spans="1:28" ht="30" customHeight="1" x14ac:dyDescent="0.3">
      <c r="S92" s="55"/>
      <c r="T92" s="55"/>
      <c r="U92" s="221"/>
      <c r="V92" s="55"/>
      <c r="W92" s="55"/>
      <c r="X92" s="55"/>
    </row>
    <row r="93" spans="1:28" ht="30" customHeight="1" x14ac:dyDescent="0.3">
      <c r="S93" s="55"/>
      <c r="T93" s="55"/>
      <c r="U93" s="221"/>
      <c r="V93" s="55"/>
      <c r="W93" s="55"/>
      <c r="X93" s="55"/>
    </row>
    <row r="94" spans="1:28" ht="30" customHeight="1" x14ac:dyDescent="0.3">
      <c r="S94" s="55"/>
      <c r="T94" s="55"/>
      <c r="U94" s="221"/>
      <c r="V94" s="55"/>
      <c r="W94" s="55"/>
      <c r="X94" s="55"/>
    </row>
    <row r="95" spans="1:28" ht="30" customHeight="1" x14ac:dyDescent="0.3">
      <c r="S95" s="55"/>
      <c r="T95" s="55"/>
      <c r="U95" s="221"/>
      <c r="V95" s="55"/>
      <c r="W95" s="55"/>
      <c r="X95" s="55"/>
    </row>
    <row r="96" spans="1:28" ht="30" customHeight="1" x14ac:dyDescent="0.3">
      <c r="S96" s="55"/>
      <c r="T96" s="55"/>
      <c r="U96" s="221"/>
      <c r="V96" s="55"/>
      <c r="W96" s="55"/>
      <c r="X96" s="55"/>
    </row>
    <row r="97" spans="15:24" ht="30" customHeight="1" x14ac:dyDescent="0.3">
      <c r="S97" s="55"/>
      <c r="T97" s="55"/>
      <c r="U97" s="221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g8Hfs/tMjODqlNmjW/fm3Go1SSC59boiQN315kNQDF8fbe8jfjPtbpfzONxdyW5YbgkrEX0RlGfFut0/8+jh5A==" saltValue="dFSPo3wXzhaV0dAJ2Sirgw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196" priority="10" operator="containsText" text="Change">
      <formula>NOT(ISERROR(SEARCH("Change",R1)))</formula>
    </cfRule>
  </conditionalFormatting>
  <conditionalFormatting sqref="R45:R48">
    <cfRule type="cellIs" dxfId="195" priority="7" operator="equal">
      <formula>"Send in Change Order"</formula>
    </cfRule>
  </conditionalFormatting>
  <conditionalFormatting sqref="W68">
    <cfRule type="cellIs" dxfId="194" priority="2" operator="notEqual">
      <formula>$E$82</formula>
    </cfRule>
    <cfRule type="cellIs" dxfId="193" priority="3" operator="greaterThan">
      <formula>$E$82</formula>
    </cfRule>
    <cfRule type="cellIs" dxfId="192" priority="4" operator="notEqual">
      <formula>$E$82</formula>
    </cfRule>
  </conditionalFormatting>
  <conditionalFormatting sqref="Z12:Z44">
    <cfRule type="cellIs" dxfId="191" priority="8" operator="lessThan">
      <formula>0</formula>
    </cfRule>
  </conditionalFormatting>
  <conditionalFormatting sqref="Z49:Z68">
    <cfRule type="cellIs" dxfId="190" priority="5" operator="lessThan">
      <formula>0</formula>
    </cfRule>
  </conditionalFormatting>
  <conditionalFormatting sqref="AA68">
    <cfRule type="cellIs" dxfId="189" priority="1" operator="notEqual">
      <formula>$O$82</formula>
    </cfRule>
  </conditionalFormatting>
  <conditionalFormatting sqref="AB1:AB1048576">
    <cfRule type="containsText" dxfId="188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2" manualBreakCount="12">
    <brk id="6" max="88" man="1"/>
    <brk id="10" max="1048575" man="1"/>
    <brk id="16" max="88" man="1"/>
    <brk id="18" max="1048575" man="1"/>
    <brk id="27" max="88" man="1"/>
    <brk id="29" max="1048575" man="1"/>
    <brk id="51" max="1048575" man="1"/>
    <brk id="52" max="1048575" man="1"/>
    <brk id="99" max="1048575" man="1"/>
    <brk id="101" max="1048575" man="1"/>
    <brk id="110" max="1048575" man="1"/>
    <brk id="111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2187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7.6640625" style="50" customWidth="1"/>
    <col min="19" max="19" width="5.88671875" style="39" customWidth="1"/>
    <col min="20" max="20" width="30.44140625" style="39" customWidth="1"/>
    <col min="21" max="21" width="17.77734375" style="219" customWidth="1"/>
    <col min="22" max="27" width="18.88671875" style="39" customWidth="1"/>
    <col min="28" max="28" width="26.10937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220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28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220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220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221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22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23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28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218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#27'!V12,"OK","Send in Change Order")</f>
        <v>OK</v>
      </c>
      <c r="S12" s="85">
        <v>1</v>
      </c>
      <c r="T12" s="86" t="str">
        <f>'Request #27'!T12</f>
        <v>Land/Site Grading &amp; Improv.</v>
      </c>
      <c r="U12" s="218">
        <f>'Request #27'!U12</f>
        <v>0</v>
      </c>
      <c r="V12" s="87">
        <f>'Request #27'!V12</f>
        <v>0</v>
      </c>
      <c r="W12" s="88">
        <f>SUMIF(F7:F79,1,E7:E79)</f>
        <v>0</v>
      </c>
      <c r="X12" s="88">
        <f>'Request #27'!Y12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#27'!AA12,"OK","Alert,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#27'!V13,"OK","Send in Change Order")</f>
        <v>OK</v>
      </c>
      <c r="S13" s="85">
        <v>2</v>
      </c>
      <c r="T13" s="86" t="str">
        <f>'Request #27'!T13</f>
        <v xml:space="preserve">General Contract </v>
      </c>
      <c r="U13" s="218">
        <f>'Request #27'!U13</f>
        <v>0</v>
      </c>
      <c r="V13" s="87">
        <f>'Request #27'!V13</f>
        <v>0</v>
      </c>
      <c r="W13" s="88">
        <f>SUMIF(F7:F79,2,E7:E79)</f>
        <v>0</v>
      </c>
      <c r="X13" s="88">
        <f>'Request #27'!Y13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#27'!AA13,"OK","Alert,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#27'!V14,"OK","Send in Change Order")</f>
        <v>OK</v>
      </c>
      <c r="S14" s="85">
        <v>3</v>
      </c>
      <c r="T14" s="86" t="str">
        <f>'Request #27'!T14</f>
        <v>Designer Contract</v>
      </c>
      <c r="U14" s="218">
        <f>'Request #27'!U14</f>
        <v>0</v>
      </c>
      <c r="V14" s="87">
        <f>'Request #27'!V14</f>
        <v>0</v>
      </c>
      <c r="W14" s="88">
        <f>SUMIF(F7:F79,3,E7:E79)</f>
        <v>0</v>
      </c>
      <c r="X14" s="88">
        <f>'Request #27'!Y14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#27'!AA14,"OK","Alert,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#27'!V15,"OK","Send in Change Order")</f>
        <v>OK</v>
      </c>
      <c r="S15" s="85">
        <v>4</v>
      </c>
      <c r="T15" s="86" t="str">
        <f>'Request #27'!T15</f>
        <v>Designer Reimbursables</v>
      </c>
      <c r="U15" s="218">
        <f>'Request #27'!U15</f>
        <v>0</v>
      </c>
      <c r="V15" s="87">
        <f>'Request #27'!V15</f>
        <v>0</v>
      </c>
      <c r="W15" s="88">
        <f>SUMIF(F7:F79,4,E7:E79)</f>
        <v>0</v>
      </c>
      <c r="X15" s="88">
        <f>'Request #27'!Y15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#27'!AA15,"OK","Alert,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#27'!V16,"OK","Send in Change Order")</f>
        <v>OK</v>
      </c>
      <c r="S16" s="85">
        <v>5</v>
      </c>
      <c r="T16" s="86" t="str">
        <f>'Request #27'!T16</f>
        <v>Other Contracts</v>
      </c>
      <c r="U16" s="218">
        <f>'Request #27'!U16</f>
        <v>0</v>
      </c>
      <c r="V16" s="87">
        <f>'Request #27'!V16</f>
        <v>0</v>
      </c>
      <c r="W16" s="88">
        <f>SUMIF(F7:F79,5,E7:E79)</f>
        <v>0</v>
      </c>
      <c r="X16" s="88">
        <f>'Request #27'!Y16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#27'!AA16,"OK","Alert,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#27'!V17,"OK","Send in Change Order")</f>
        <v>OK</v>
      </c>
      <c r="S17" s="85">
        <v>6</v>
      </c>
      <c r="T17" s="86" t="str">
        <f>'Request #27'!T17</f>
        <v>Other Contracts</v>
      </c>
      <c r="U17" s="218">
        <f>'Request #27'!U17</f>
        <v>0</v>
      </c>
      <c r="V17" s="87">
        <f>'Request #27'!V17</f>
        <v>0</v>
      </c>
      <c r="W17" s="88">
        <f>SUMIF(F7:F79,6,E7:E79)</f>
        <v>0</v>
      </c>
      <c r="X17" s="88">
        <f>'Request #27'!Y17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#27'!AA17,"OK","Alert,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#27'!V18,"OK","Send in Change Order")</f>
        <v>OK</v>
      </c>
      <c r="S18" s="85">
        <v>7</v>
      </c>
      <c r="T18" s="86" t="str">
        <f>'Request #27'!T18</f>
        <v>Other Contracts</v>
      </c>
      <c r="U18" s="218">
        <f>'Request #27'!U18</f>
        <v>0</v>
      </c>
      <c r="V18" s="87">
        <f>'Request #27'!V18</f>
        <v>0</v>
      </c>
      <c r="W18" s="88">
        <f>SUMIF(F7:F79,7,E7:E79)</f>
        <v>0</v>
      </c>
      <c r="X18" s="88">
        <f>'Request #27'!Y18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#27'!AA18,"OK","Alert,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#27'!V19,"OK","Send in Change Order")</f>
        <v>OK</v>
      </c>
      <c r="S19" s="85">
        <v>8</v>
      </c>
      <c r="T19" s="86" t="str">
        <f>'Request #27'!T19</f>
        <v>Other Contracts</v>
      </c>
      <c r="U19" s="218">
        <f>'Request #27'!U19</f>
        <v>0</v>
      </c>
      <c r="V19" s="87">
        <f>'Request #27'!V19</f>
        <v>0</v>
      </c>
      <c r="W19" s="88">
        <f>SUMIF(F7:F79,8,E7:E79)</f>
        <v>0</v>
      </c>
      <c r="X19" s="88">
        <f>'Request #27'!Y19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#27'!AA19,"OK","Alert,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#27'!V20,"OK","Send in Change Order")</f>
        <v>OK</v>
      </c>
      <c r="S20" s="85">
        <v>9</v>
      </c>
      <c r="T20" s="86" t="str">
        <f>'Request #27'!T20</f>
        <v>Other Contracts</v>
      </c>
      <c r="U20" s="218">
        <f>'Request #27'!U20</f>
        <v>0</v>
      </c>
      <c r="V20" s="87">
        <f>'Request #27'!V20</f>
        <v>0</v>
      </c>
      <c r="W20" s="88">
        <f>SUMIF(F7:F79,9,E7:E79)</f>
        <v>0</v>
      </c>
      <c r="X20" s="88">
        <f>'Request #27'!Y20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#27'!AA20,"OK","Alert,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#27'!V21,"OK","Send in Change Order")</f>
        <v>OK</v>
      </c>
      <c r="S21" s="85">
        <v>10</v>
      </c>
      <c r="T21" s="86" t="str">
        <f>'Request #27'!T21</f>
        <v>Other Contracts</v>
      </c>
      <c r="U21" s="218">
        <f>'Request #27'!U21</f>
        <v>0</v>
      </c>
      <c r="V21" s="87">
        <f>'Request #27'!V21</f>
        <v>0</v>
      </c>
      <c r="W21" s="88">
        <f>SUMIF(F7:F79,10,E7:E79)</f>
        <v>0</v>
      </c>
      <c r="X21" s="88">
        <f>'Request #27'!Y21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#27'!AA21,"OK","Alert,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#27'!V22,"OK","Send in Change Order")</f>
        <v>OK</v>
      </c>
      <c r="S22" s="85">
        <v>11</v>
      </c>
      <c r="T22" s="86" t="str">
        <f>'Request #27'!T22</f>
        <v>Other Contracts</v>
      </c>
      <c r="U22" s="218">
        <f>'Request #27'!U22</f>
        <v>0</v>
      </c>
      <c r="V22" s="87">
        <f>'Request #27'!V22</f>
        <v>0</v>
      </c>
      <c r="W22" s="88">
        <f>SUMIF(F7:F79,11,E7:E79)</f>
        <v>0</v>
      </c>
      <c r="X22" s="88">
        <f>'Request #27'!Y22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#27'!AA22,"OK","Alert,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#27'!V23,"OK","Send in Change Order")</f>
        <v>OK</v>
      </c>
      <c r="S23" s="85">
        <v>12</v>
      </c>
      <c r="T23" s="86" t="str">
        <f>'Request #27'!T23</f>
        <v>Other Contracts</v>
      </c>
      <c r="U23" s="218">
        <f>'Request #27'!U23</f>
        <v>0</v>
      </c>
      <c r="V23" s="87">
        <f>'Request #27'!V23</f>
        <v>0</v>
      </c>
      <c r="W23" s="88">
        <f>SUMIF(F7:F79,12,E7:E79)</f>
        <v>0</v>
      </c>
      <c r="X23" s="88">
        <f>'Request #27'!Y23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#27'!AA23,"OK","Alert,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#27'!V24,"OK","Send in Change Order")</f>
        <v>OK</v>
      </c>
      <c r="S24" s="85">
        <v>13</v>
      </c>
      <c r="T24" s="86" t="str">
        <f>'Request #27'!T24</f>
        <v>Other Contracts</v>
      </c>
      <c r="U24" s="218">
        <f>'Request #27'!U24</f>
        <v>0</v>
      </c>
      <c r="V24" s="87">
        <f>'Request #27'!V24</f>
        <v>0</v>
      </c>
      <c r="W24" s="88">
        <f>SUMIF(F7:F79,13,E7:E79)</f>
        <v>0</v>
      </c>
      <c r="X24" s="88">
        <f>'Request #27'!Y24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#27'!AA24,"OK","Alert,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#27'!V25,"OK","Send in Change Order")</f>
        <v>OK</v>
      </c>
      <c r="S25" s="85">
        <v>14</v>
      </c>
      <c r="T25" s="86" t="str">
        <f>'Request #27'!T25</f>
        <v>Other Contracts</v>
      </c>
      <c r="U25" s="218">
        <f>'Request #27'!U25</f>
        <v>0</v>
      </c>
      <c r="V25" s="87">
        <f>'Request #27'!V25</f>
        <v>0</v>
      </c>
      <c r="W25" s="88">
        <f>SUMIF(F7:F79,14,E7:E79)</f>
        <v>0</v>
      </c>
      <c r="X25" s="88">
        <f>'Request #27'!Y25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#27'!AA25,"OK","Alert,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#27'!V26,"OK","Send in Change Order")</f>
        <v>OK</v>
      </c>
      <c r="S26" s="85">
        <v>15</v>
      </c>
      <c r="T26" s="86" t="str">
        <f>'Request #27'!T26</f>
        <v>Other Contracts</v>
      </c>
      <c r="U26" s="218">
        <f>'Request #27'!U26</f>
        <v>0</v>
      </c>
      <c r="V26" s="87">
        <f>'Request #27'!V26</f>
        <v>0</v>
      </c>
      <c r="W26" s="88">
        <f>SUMIF(F7:F79,15,E7:E79)</f>
        <v>0</v>
      </c>
      <c r="X26" s="88">
        <f>'Request #27'!Y26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#27'!AA26,"OK","Alert,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#27'!V27,"OK","Send in Change Order")</f>
        <v>OK</v>
      </c>
      <c r="S27" s="85">
        <v>16</v>
      </c>
      <c r="T27" s="86" t="str">
        <f>'Request #27'!T27</f>
        <v>Other Contracts</v>
      </c>
      <c r="U27" s="218">
        <f>'Request #27'!U27</f>
        <v>0</v>
      </c>
      <c r="V27" s="87">
        <f>'Request #27'!V27</f>
        <v>0</v>
      </c>
      <c r="W27" s="88">
        <f>SUMIF(F7:F79,16,E7:E79)</f>
        <v>0</v>
      </c>
      <c r="X27" s="88">
        <f>'Request #27'!Y27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#27'!AA27,"OK","Alert,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#27'!V28,"OK","Send in Change Order")</f>
        <v>OK</v>
      </c>
      <c r="S28" s="85">
        <v>17</v>
      </c>
      <c r="T28" s="86" t="str">
        <f>'Request #27'!T28</f>
        <v>Other Contracts</v>
      </c>
      <c r="U28" s="218">
        <f>'Request #27'!U28</f>
        <v>0</v>
      </c>
      <c r="V28" s="87">
        <f>'Request #27'!V28</f>
        <v>0</v>
      </c>
      <c r="W28" s="88">
        <f>SUMIF(F7:F79,17,E7:E79)</f>
        <v>0</v>
      </c>
      <c r="X28" s="88">
        <f>'Request #27'!Y28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#27'!AA28,"OK","Alert,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#27'!V29,"OK","Send in Change Order")</f>
        <v>OK</v>
      </c>
      <c r="S29" s="85">
        <v>18</v>
      </c>
      <c r="T29" s="86" t="str">
        <f>'Request #27'!T29</f>
        <v>Other Contracts</v>
      </c>
      <c r="U29" s="218">
        <f>'Request #27'!U29</f>
        <v>0</v>
      </c>
      <c r="V29" s="87">
        <f>'Request #27'!V29</f>
        <v>0</v>
      </c>
      <c r="W29" s="88">
        <f>SUMIF(F7:F79,18,E7:E79)</f>
        <v>0</v>
      </c>
      <c r="X29" s="88">
        <f>'Request #27'!Y29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#27'!AA29,"OK","Alert,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#27'!V30,"OK","Send in Change Order")</f>
        <v>OK</v>
      </c>
      <c r="S30" s="85">
        <v>19</v>
      </c>
      <c r="T30" s="86" t="str">
        <f>'Request #27'!T30</f>
        <v>Other Contracts</v>
      </c>
      <c r="U30" s="218">
        <f>'Request #27'!U30</f>
        <v>0</v>
      </c>
      <c r="V30" s="87">
        <f>'Request #27'!V30</f>
        <v>0</v>
      </c>
      <c r="W30" s="88">
        <f>SUMIF(F7:F79,19,E7:E79)</f>
        <v>0</v>
      </c>
      <c r="X30" s="88">
        <f>'Request #27'!Y30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#27'!AA30,"OK","Alert,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#27'!V31,"OK","Send in Change Order")</f>
        <v>OK</v>
      </c>
      <c r="S31" s="85">
        <v>20</v>
      </c>
      <c r="T31" s="86" t="str">
        <f>'Request #27'!T31</f>
        <v>Other Contracts</v>
      </c>
      <c r="U31" s="218">
        <f>'Request #27'!U31</f>
        <v>0</v>
      </c>
      <c r="V31" s="87">
        <f>'Request #27'!V31</f>
        <v>0</v>
      </c>
      <c r="W31" s="88">
        <f>SUMIF(F7:F79,20,E7:E79)</f>
        <v>0</v>
      </c>
      <c r="X31" s="88">
        <f>'Request #27'!Y31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#27'!AA31,"OK","Alert,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#27'!V32,"OK","Send in Change Order")</f>
        <v>OK</v>
      </c>
      <c r="S32" s="85">
        <v>21</v>
      </c>
      <c r="T32" s="86" t="str">
        <f>'Request #27'!T32</f>
        <v>Other Contracts</v>
      </c>
      <c r="U32" s="218">
        <f>'Request #27'!U32</f>
        <v>0</v>
      </c>
      <c r="V32" s="87">
        <f>'Request #27'!V32</f>
        <v>0</v>
      </c>
      <c r="W32" s="88">
        <f>SUMIF(F7:F79,21,E7:E79)</f>
        <v>0</v>
      </c>
      <c r="X32" s="88">
        <f>'Request #27'!Y32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#27'!AA32,"OK","Alert,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#27'!V33,"OK","Send in Change Order")</f>
        <v>OK</v>
      </c>
      <c r="S33" s="85">
        <v>22</v>
      </c>
      <c r="T33" s="86" t="str">
        <f>'Request #27'!T33</f>
        <v>Other Contracts</v>
      </c>
      <c r="U33" s="218">
        <f>'Request #27'!U33</f>
        <v>0</v>
      </c>
      <c r="V33" s="87">
        <f>'Request #27'!V33</f>
        <v>0</v>
      </c>
      <c r="W33" s="88">
        <f>SUMIF(F7:F79,22,E7:E79)</f>
        <v>0</v>
      </c>
      <c r="X33" s="88">
        <f>'Request #27'!Y33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#27'!AA33,"OK","Alert,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#27'!V34,"OK","Send in Change Order")</f>
        <v>OK</v>
      </c>
      <c r="S34" s="85">
        <v>23</v>
      </c>
      <c r="T34" s="86" t="str">
        <f>'Request #27'!T34</f>
        <v>Other Contracts</v>
      </c>
      <c r="U34" s="218">
        <f>'Request #27'!U34</f>
        <v>0</v>
      </c>
      <c r="V34" s="87">
        <f>'Request #27'!V34</f>
        <v>0</v>
      </c>
      <c r="W34" s="88">
        <f>SUMIF(F7:F79,23,E7:E79)</f>
        <v>0</v>
      </c>
      <c r="X34" s="88">
        <f>'Request #27'!Y34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#27'!AA34,"OK","Alert,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#27'!V35,"OK","Send in Change Order")</f>
        <v>OK</v>
      </c>
      <c r="S35" s="85">
        <v>24</v>
      </c>
      <c r="T35" s="86" t="str">
        <f>'Request #27'!T35</f>
        <v>Other Contracts</v>
      </c>
      <c r="U35" s="218">
        <f>'Request #27'!U35</f>
        <v>0</v>
      </c>
      <c r="V35" s="87">
        <f>'Request #27'!V35</f>
        <v>0</v>
      </c>
      <c r="W35" s="88">
        <f>SUMIF(F7:F79,24,E7:E79)</f>
        <v>0</v>
      </c>
      <c r="X35" s="88">
        <f>'Request #27'!Y35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#27'!AA35,"OK","Alert,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#27'!V36,"OK","Send in Change Order")</f>
        <v>OK</v>
      </c>
      <c r="S36" s="85">
        <v>25</v>
      </c>
      <c r="T36" s="86" t="str">
        <f>'Request #27'!T36</f>
        <v>Other Contracts</v>
      </c>
      <c r="U36" s="218">
        <f>'Request #27'!U36</f>
        <v>0</v>
      </c>
      <c r="V36" s="87">
        <f>'Request #27'!V36</f>
        <v>0</v>
      </c>
      <c r="W36" s="88">
        <f>SUMIF(F7:F79,25,E7:E79)</f>
        <v>0</v>
      </c>
      <c r="X36" s="88">
        <f>'Request #27'!Y36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#27'!AA36,"OK","Alert,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#27'!V37,"OK","Send in Change Order")</f>
        <v>OK</v>
      </c>
      <c r="S37" s="85">
        <v>26</v>
      </c>
      <c r="T37" s="86" t="str">
        <f>'Request #27'!T37</f>
        <v>Other Fees</v>
      </c>
      <c r="U37" s="218">
        <f>'Request #27'!U37</f>
        <v>0</v>
      </c>
      <c r="V37" s="87">
        <f>'Request #27'!V37</f>
        <v>0</v>
      </c>
      <c r="W37" s="88">
        <f>SUMIF(F7:F79,26,E7:E79)</f>
        <v>0</v>
      </c>
      <c r="X37" s="88">
        <f>'Request #27'!Y37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#27'!AA37,"OK","Alert,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#27'!V38,"OK","Send in Change Order")</f>
        <v>OK</v>
      </c>
      <c r="S38" s="85">
        <v>27</v>
      </c>
      <c r="T38" s="86" t="str">
        <f>'Request #27'!T38</f>
        <v>Other Fees</v>
      </c>
      <c r="U38" s="218">
        <f>'Request #27'!U38</f>
        <v>0</v>
      </c>
      <c r="V38" s="87">
        <f>'Request #27'!V38</f>
        <v>0</v>
      </c>
      <c r="W38" s="88">
        <f>SUMIF(F7:F79,27,E7:E79)</f>
        <v>0</v>
      </c>
      <c r="X38" s="88">
        <f>'Request #27'!Y38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#27'!AA38,"OK","Alert,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#27'!V39,"OK","Send in Change Order")</f>
        <v>OK</v>
      </c>
      <c r="S39" s="85">
        <v>28</v>
      </c>
      <c r="T39" s="86" t="str">
        <f>'Request #27'!T39</f>
        <v>Other Fees</v>
      </c>
      <c r="U39" s="218">
        <f>'Request #27'!U39</f>
        <v>0</v>
      </c>
      <c r="V39" s="87">
        <f>'Request #27'!V39</f>
        <v>0</v>
      </c>
      <c r="W39" s="88">
        <f>SUMIF(F7:F79,28,E7:E79)</f>
        <v>0</v>
      </c>
      <c r="X39" s="88">
        <f>'Request #27'!Y39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#27'!AA39,"OK","Alert,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#27'!V40,"OK","Send in Change Order")</f>
        <v>OK</v>
      </c>
      <c r="S40" s="85">
        <v>29</v>
      </c>
      <c r="T40" s="86" t="str">
        <f>'Request #27'!T40</f>
        <v>Other Fees</v>
      </c>
      <c r="U40" s="218">
        <f>'Request #27'!U40</f>
        <v>0</v>
      </c>
      <c r="V40" s="87">
        <f>'Request #27'!V40</f>
        <v>0</v>
      </c>
      <c r="W40" s="88">
        <f>SUMIF(F7:F79,29,E7:E79)</f>
        <v>0</v>
      </c>
      <c r="X40" s="88">
        <f>'Request #27'!Y40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#27'!AA40,"OK","Alert,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#27'!V41,"OK","Send in Change Order")</f>
        <v>OK</v>
      </c>
      <c r="S41" s="85">
        <v>30</v>
      </c>
      <c r="T41" s="86" t="str">
        <f>'Request #27'!T41</f>
        <v>Other Fees</v>
      </c>
      <c r="U41" s="218">
        <f>'Request #27'!U41</f>
        <v>0</v>
      </c>
      <c r="V41" s="87">
        <f>'Request #27'!V41</f>
        <v>0</v>
      </c>
      <c r="W41" s="88">
        <f>SUMIF(F7:F79,30,E7:E79)</f>
        <v>0</v>
      </c>
      <c r="X41" s="88">
        <f>'Request #27'!Y41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#27'!AA41,"OK","Alert,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#27'!V42,"OK","Send in Change Order")</f>
        <v>OK</v>
      </c>
      <c r="S42" s="85">
        <v>31</v>
      </c>
      <c r="T42" s="86" t="str">
        <f>'Request #27'!T42</f>
        <v>Other Fees</v>
      </c>
      <c r="U42" s="218">
        <f>'Request #27'!U42</f>
        <v>0</v>
      </c>
      <c r="V42" s="87">
        <f>'Request #27'!V42</f>
        <v>0</v>
      </c>
      <c r="W42" s="88">
        <f>SUMIF(F7:F79,31,E7:E79)</f>
        <v>0</v>
      </c>
      <c r="X42" s="88">
        <f>'Request #27'!Y42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#27'!AA42,"OK","Alert,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#27'!V43,"OK","Send in Change Order")</f>
        <v>OK</v>
      </c>
      <c r="S43" s="85">
        <v>32</v>
      </c>
      <c r="T43" s="86" t="str">
        <f>'Request #27'!T43</f>
        <v>Other Fees</v>
      </c>
      <c r="U43" s="218">
        <f>'Request #27'!U43</f>
        <v>0</v>
      </c>
      <c r="V43" s="87">
        <f>'Request #27'!V43</f>
        <v>0</v>
      </c>
      <c r="W43" s="88">
        <f>SUMIF(F7:F79,32,E7:E79)</f>
        <v>0</v>
      </c>
      <c r="X43" s="88">
        <f>'Request #27'!Y43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#27'!AA43,"OK","Alert,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#27'!V44,"OK","Send in Change Order")</f>
        <v>OK</v>
      </c>
      <c r="S44" s="85">
        <v>33</v>
      </c>
      <c r="T44" s="86" t="str">
        <f>'Request #27'!T44</f>
        <v>Other Fees</v>
      </c>
      <c r="U44" s="218">
        <f>'Request #27'!U44</f>
        <v>0</v>
      </c>
      <c r="V44" s="87">
        <f>'Request #27'!V44</f>
        <v>0</v>
      </c>
      <c r="W44" s="88">
        <f>SUMIF(F7:F79,33,E7:E79)</f>
        <v>0</v>
      </c>
      <c r="X44" s="88">
        <f>'Request #27'!Y44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#27'!AA44,"OK","Alert,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#27'!V49,"OK","Send in Change Order")</f>
        <v>OK</v>
      </c>
      <c r="S49" s="85">
        <v>38</v>
      </c>
      <c r="T49" s="86" t="str">
        <f>'Request #27'!T49</f>
        <v>Other Fees</v>
      </c>
      <c r="U49" s="218">
        <f>'Request #27'!U49</f>
        <v>0</v>
      </c>
      <c r="V49" s="87">
        <f>'Request #27'!V49</f>
        <v>0</v>
      </c>
      <c r="W49" s="88">
        <f>SUMIF(F7:F79,38,E7:E79)</f>
        <v>0</v>
      </c>
      <c r="X49" s="88">
        <f>'Request #27'!Y49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#27'!AA49,"OK","Alert,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#27'!V50,"OK","Send in Change Order")</f>
        <v>OK</v>
      </c>
      <c r="S50" s="85">
        <v>39</v>
      </c>
      <c r="T50" s="86" t="str">
        <f>'Request #27'!T50</f>
        <v>Other Fees</v>
      </c>
      <c r="U50" s="218">
        <f>'Request #27'!U50</f>
        <v>0</v>
      </c>
      <c r="V50" s="87">
        <f>'Request #27'!V50</f>
        <v>0</v>
      </c>
      <c r="W50" s="88">
        <f>SUMIF(F7:F79,39,E7:E79)</f>
        <v>0</v>
      </c>
      <c r="X50" s="88">
        <f>'Request #27'!Y50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#27'!AA50,"OK","Alert,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#27'!V51,"OK","Send in Change Order")</f>
        <v>OK</v>
      </c>
      <c r="S51" s="85">
        <v>40</v>
      </c>
      <c r="T51" s="86" t="str">
        <f>'Request #27'!T51</f>
        <v>Other Fees</v>
      </c>
      <c r="U51" s="218">
        <f>'Request #27'!U51</f>
        <v>0</v>
      </c>
      <c r="V51" s="87">
        <f>'Request #27'!V51</f>
        <v>0</v>
      </c>
      <c r="W51" s="88">
        <f>SUMIF(F7:F79,40,E7:E79)</f>
        <v>0</v>
      </c>
      <c r="X51" s="88">
        <f>'Request #27'!Y51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#27'!AA51,"OK","Alert,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#27'!V52,"OK","Send in Change Order")</f>
        <v>OK</v>
      </c>
      <c r="S52" s="85">
        <v>41</v>
      </c>
      <c r="T52" s="86" t="str">
        <f>'Request #27'!T52</f>
        <v>Other Fees</v>
      </c>
      <c r="U52" s="218">
        <f>'Request #27'!U52</f>
        <v>0</v>
      </c>
      <c r="V52" s="87">
        <f>'Request #27'!V52</f>
        <v>0</v>
      </c>
      <c r="W52" s="88">
        <f>SUMIF(F7:F79,41,E7:E79)</f>
        <v>0</v>
      </c>
      <c r="X52" s="88">
        <f>'Request #27'!Y52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#27'!AA52,"OK","Alert,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#27'!V53,"OK","Send in Change Order")</f>
        <v>OK</v>
      </c>
      <c r="S53" s="85">
        <v>42</v>
      </c>
      <c r="T53" s="86" t="str">
        <f>'Request #27'!T53</f>
        <v>Other Fees</v>
      </c>
      <c r="U53" s="218">
        <f>'Request #27'!U53</f>
        <v>0</v>
      </c>
      <c r="V53" s="87">
        <f>'Request #27'!V53</f>
        <v>0</v>
      </c>
      <c r="W53" s="88">
        <f>SUMIF(F7:F79,42,E7:E79)</f>
        <v>0</v>
      </c>
      <c r="X53" s="88">
        <f>'Request #27'!Y53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#27'!AA53,"OK","Alert,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#27'!V54,"OK","Send in Change Order")</f>
        <v>OK</v>
      </c>
      <c r="S54" s="85">
        <v>43</v>
      </c>
      <c r="T54" s="86" t="str">
        <f>'Request #27'!T54</f>
        <v>Other Fees</v>
      </c>
      <c r="U54" s="218">
        <f>'Request #27'!U54</f>
        <v>0</v>
      </c>
      <c r="V54" s="87">
        <f>'Request #27'!V54</f>
        <v>0</v>
      </c>
      <c r="W54" s="88">
        <f>SUMIF(F7:F79,43,E7:E79)</f>
        <v>0</v>
      </c>
      <c r="X54" s="88">
        <f>'Request #27'!Y54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#27'!AA54,"OK","Alert,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#27'!V55,"OK","Send in Change Order")</f>
        <v>OK</v>
      </c>
      <c r="S55" s="85">
        <v>44</v>
      </c>
      <c r="T55" s="86" t="str">
        <f>'Request #27'!T55</f>
        <v>Other Fees</v>
      </c>
      <c r="U55" s="218">
        <f>'Request #27'!U55</f>
        <v>0</v>
      </c>
      <c r="V55" s="87">
        <f>'Request #27'!V55</f>
        <v>0</v>
      </c>
      <c r="W55" s="88">
        <f>SUMIF(F7:F79,44,E7:E79)</f>
        <v>0</v>
      </c>
      <c r="X55" s="88">
        <f>'Request #27'!Y55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#27'!AA55,"OK","Alert,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#27'!V56,"OK","Send in Change Order")</f>
        <v>OK</v>
      </c>
      <c r="S56" s="85">
        <v>45</v>
      </c>
      <c r="T56" s="86" t="str">
        <f>'Request #27'!T56</f>
        <v>Other Fees</v>
      </c>
      <c r="U56" s="218">
        <f>'Request #27'!U56</f>
        <v>0</v>
      </c>
      <c r="V56" s="87">
        <f>'Request #27'!V56</f>
        <v>0</v>
      </c>
      <c r="W56" s="88">
        <f>SUMIF(F7:F79,45,E7:E79)</f>
        <v>0</v>
      </c>
      <c r="X56" s="88">
        <f>'Request #27'!Y56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#27'!AA56,"OK","Alert,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#27'!V57,"OK","Send in Change Order")</f>
        <v>OK</v>
      </c>
      <c r="S57" s="85">
        <v>46</v>
      </c>
      <c r="T57" s="86" t="str">
        <f>'Request #27'!T57</f>
        <v>Other Fees</v>
      </c>
      <c r="U57" s="218">
        <f>'Request #27'!U57</f>
        <v>0</v>
      </c>
      <c r="V57" s="87">
        <f>'Request #27'!V57</f>
        <v>0</v>
      </c>
      <c r="W57" s="88">
        <f>SUMIF(F7:F79,46,E7:E79)</f>
        <v>0</v>
      </c>
      <c r="X57" s="88">
        <f>'Request #27'!Y57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#27'!AA57,"OK","Alert,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#27'!V58,"OK","Send in Change Order")</f>
        <v>OK</v>
      </c>
      <c r="S58" s="85">
        <v>47</v>
      </c>
      <c r="T58" s="86" t="str">
        <f>'Request #27'!T58</f>
        <v>Other Fees</v>
      </c>
      <c r="U58" s="218">
        <f>'Request #27'!U58</f>
        <v>0</v>
      </c>
      <c r="V58" s="87">
        <f>'Request #27'!V58</f>
        <v>0</v>
      </c>
      <c r="W58" s="88">
        <f>SUMIF(F7:F79,47,E7:E79)</f>
        <v>0</v>
      </c>
      <c r="X58" s="88">
        <f>'Request #27'!Y58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#27'!AA58,"OK","Alert,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#27'!V59,"OK","Send in Change Order")</f>
        <v>OK</v>
      </c>
      <c r="S59" s="85">
        <v>48</v>
      </c>
      <c r="T59" s="86" t="str">
        <f>'Request #27'!T59</f>
        <v>Other Fees</v>
      </c>
      <c r="U59" s="218">
        <f>'Request #27'!U59</f>
        <v>0</v>
      </c>
      <c r="V59" s="87">
        <f>'Request #27'!V59</f>
        <v>0</v>
      </c>
      <c r="W59" s="88">
        <f>SUMIF(F7:F79,48,E7:E79)</f>
        <v>0</v>
      </c>
      <c r="X59" s="88">
        <f>'Request #27'!Y59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#27'!AA59,"OK","Alert,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#27'!V60,"OK","Send in Change Order")</f>
        <v>OK</v>
      </c>
      <c r="S60" s="85">
        <v>49</v>
      </c>
      <c r="T60" s="86" t="str">
        <f>'Request #27'!T60</f>
        <v>Other Fees</v>
      </c>
      <c r="U60" s="218">
        <f>'Request #27'!U60</f>
        <v>0</v>
      </c>
      <c r="V60" s="87">
        <f>'Request #27'!V60</f>
        <v>0</v>
      </c>
      <c r="W60" s="88">
        <f>SUMIF(F7:F79,49,E7:E79)</f>
        <v>0</v>
      </c>
      <c r="X60" s="88">
        <f>'Request #27'!Y60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#27'!AA60,"OK","Alert,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#27'!V61,"OK","Send in Change Order")</f>
        <v>OK</v>
      </c>
      <c r="S61" s="85">
        <v>50</v>
      </c>
      <c r="T61" s="86" t="str">
        <f>'Request #27'!T61</f>
        <v>Other Fees</v>
      </c>
      <c r="U61" s="218">
        <f>'Request #27'!U61</f>
        <v>0</v>
      </c>
      <c r="V61" s="87">
        <f>'Request #27'!V61</f>
        <v>0</v>
      </c>
      <c r="W61" s="88">
        <f>SUMIF(F7:F79,50,E7:E79)</f>
        <v>0</v>
      </c>
      <c r="X61" s="88">
        <f>'Request #27'!Y61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#27'!AA61,"OK","Alert,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#27'!V62,"OK","Send in Change Order")</f>
        <v>OK</v>
      </c>
      <c r="S62" s="85">
        <v>51</v>
      </c>
      <c r="T62" s="86" t="str">
        <f>'Request #27'!T62</f>
        <v>Other Fees</v>
      </c>
      <c r="U62" s="218">
        <f>'Request #27'!U62</f>
        <v>0</v>
      </c>
      <c r="V62" s="87">
        <f>'Request #27'!V62</f>
        <v>0</v>
      </c>
      <c r="W62" s="88">
        <f>SUMIF(F7:F79,51,E7:E79)</f>
        <v>0</v>
      </c>
      <c r="X62" s="88">
        <f>'Request #27'!Y62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#27'!AA62,"OK","Alert,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#27'!V63,"OK","Send in Change Order")</f>
        <v>OK</v>
      </c>
      <c r="S63" s="85">
        <v>52</v>
      </c>
      <c r="T63" s="86" t="str">
        <f>'Request #27'!T63</f>
        <v>Worked Performed by Owner</v>
      </c>
      <c r="U63" s="218">
        <f>'Request #27'!U63</f>
        <v>0</v>
      </c>
      <c r="V63" s="87">
        <f>'Request #27'!V63</f>
        <v>0</v>
      </c>
      <c r="W63" s="88">
        <f>SUMIF(F7:F79,52,E7:E79)</f>
        <v>0</v>
      </c>
      <c r="X63" s="88">
        <f>'Request #27'!Y63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#27'!AA63,"OK","Alert,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#27'!V64,"OK","Send in Change Order")</f>
        <v>OK</v>
      </c>
      <c r="S64" s="85">
        <v>53</v>
      </c>
      <c r="T64" s="86" t="str">
        <f>'Request #27'!T64</f>
        <v>Equipment (Major)</v>
      </c>
      <c r="U64" s="218">
        <f>'Request #27'!U64</f>
        <v>0</v>
      </c>
      <c r="V64" s="87">
        <f>'Request #27'!V64</f>
        <v>0</v>
      </c>
      <c r="W64" s="88">
        <f>SUMIF(F7:F79,53,E7:E79)</f>
        <v>0</v>
      </c>
      <c r="X64" s="88">
        <f>'Request #27'!Y64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#27'!AA64,"OK","Alert,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#27'!V65,"OK","Send in Change Order")</f>
        <v>OK</v>
      </c>
      <c r="S65" s="85">
        <v>54</v>
      </c>
      <c r="T65" s="102" t="s">
        <v>90</v>
      </c>
      <c r="U65" s="218">
        <f>'Request #27'!U65</f>
        <v>0</v>
      </c>
      <c r="V65" s="87">
        <f>'Request #27'!V65</f>
        <v>0</v>
      </c>
      <c r="W65" s="104"/>
      <c r="X65" s="88">
        <f>'Request #27'!Y65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#27'!AA65,"OK","Alert,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#27'!V66,"OK","Send in Change Order")</f>
        <v>OK</v>
      </c>
      <c r="S66" s="85">
        <v>55</v>
      </c>
      <c r="T66" s="86"/>
      <c r="U66" s="218">
        <f>'Request #27'!U66</f>
        <v>0</v>
      </c>
      <c r="V66" s="87">
        <f>'Request #27'!V66</f>
        <v>0</v>
      </c>
      <c r="W66" s="88">
        <f>SUMIF(F7:F79,55,E7:E79)</f>
        <v>0</v>
      </c>
      <c r="X66" s="88">
        <f>'Request #27'!Y66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#27'!AA66,"OK","Alert,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#27'!V67,"OK","Send in Change Order")</f>
        <v>OK</v>
      </c>
      <c r="S67" s="85">
        <v>56</v>
      </c>
      <c r="T67" s="79"/>
      <c r="U67" s="218">
        <f>'Request #27'!U67</f>
        <v>0</v>
      </c>
      <c r="V67" s="87">
        <f>'Request #27'!V67</f>
        <v>0</v>
      </c>
      <c r="W67" s="88">
        <f>SUMIF(F7:F79,56,E7:E79)</f>
        <v>0</v>
      </c>
      <c r="X67" s="88">
        <f>'Request #27'!Y67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#27'!AA67,"OK","Alert,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#27'!V68,"OK","Send in Change Order")</f>
        <v>OK</v>
      </c>
      <c r="S68" s="316" t="s">
        <v>60</v>
      </c>
      <c r="T68" s="317"/>
      <c r="U68" s="224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#27'!AA68,"OK","Alert,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25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226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27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28" t="e">
        <f>V72/V68</f>
        <v>#DIV/0!</v>
      </c>
      <c r="V72" s="88">
        <f>V68-V74-V73</f>
        <v>0</v>
      </c>
      <c r="W72" s="87">
        <v>0</v>
      </c>
      <c r="X72" s="168">
        <f>'Request #27'!Y72</f>
        <v>0</v>
      </c>
      <c r="Y72" s="168">
        <f t="shared" ref="Y72:Y73" si="8">W72+X72</f>
        <v>0</v>
      </c>
      <c r="Z72" s="16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#27'!V73,"OK","Send in Change Order")</f>
        <v>OK</v>
      </c>
      <c r="S73" s="86" t="s">
        <v>95</v>
      </c>
      <c r="T73" s="114"/>
      <c r="U73" s="228" t="e">
        <f>V73/V68</f>
        <v>#DIV/0!</v>
      </c>
      <c r="V73" s="87">
        <f>'Request #27'!V73</f>
        <v>0</v>
      </c>
      <c r="W73" s="87">
        <v>0</v>
      </c>
      <c r="X73" s="168">
        <f>'Request #27'!Y73</f>
        <v>0</v>
      </c>
      <c r="Y73" s="168">
        <f t="shared" si="8"/>
        <v>0</v>
      </c>
      <c r="Z73" s="16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#27'!V74,"OK","Send in Change Order")</f>
        <v>OK</v>
      </c>
      <c r="S74" s="120" t="s">
        <v>96</v>
      </c>
      <c r="T74" s="121"/>
      <c r="U74" s="228" t="e">
        <f>V74/V68</f>
        <v>#DIV/0!</v>
      </c>
      <c r="V74" s="87">
        <f>'Request #27'!V74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221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30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30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31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221"/>
      <c r="V80" s="55"/>
      <c r="W80" s="55"/>
      <c r="X80" s="138"/>
      <c r="Y80" s="45" t="s">
        <v>108</v>
      </c>
      <c r="Z80" s="43"/>
      <c r="AA80" s="88">
        <f>'Request #27'!AA79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28</v>
      </c>
      <c r="V87" s="55"/>
      <c r="W87" s="55"/>
      <c r="X87" s="138"/>
      <c r="Y87" s="45" t="s">
        <v>108</v>
      </c>
      <c r="Z87" s="43"/>
      <c r="AA87" s="88">
        <f>'Request #27'!AA86</f>
        <v>0</v>
      </c>
      <c r="AB87" s="110"/>
    </row>
    <row r="88" spans="1:28" ht="30" customHeight="1" thickBot="1" x14ac:dyDescent="0.35">
      <c r="S88" s="55"/>
      <c r="T88" s="55"/>
      <c r="U88" s="221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221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221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221"/>
      <c r="V91" s="55"/>
      <c r="W91" s="55"/>
      <c r="X91" s="55"/>
    </row>
    <row r="92" spans="1:28" ht="30" customHeight="1" x14ac:dyDescent="0.3">
      <c r="S92" s="55"/>
      <c r="T92" s="55"/>
      <c r="U92" s="221"/>
      <c r="V92" s="55"/>
      <c r="W92" s="55"/>
      <c r="X92" s="55"/>
    </row>
    <row r="93" spans="1:28" ht="30" customHeight="1" x14ac:dyDescent="0.3">
      <c r="S93" s="55"/>
      <c r="T93" s="55"/>
      <c r="U93" s="221"/>
      <c r="V93" s="55"/>
      <c r="W93" s="55"/>
      <c r="X93" s="55"/>
    </row>
    <row r="94" spans="1:28" ht="30" customHeight="1" x14ac:dyDescent="0.3">
      <c r="S94" s="55"/>
      <c r="T94" s="55"/>
      <c r="U94" s="221"/>
      <c r="V94" s="55"/>
      <c r="W94" s="55"/>
      <c r="X94" s="55"/>
    </row>
    <row r="95" spans="1:28" ht="30" customHeight="1" x14ac:dyDescent="0.3">
      <c r="S95" s="55"/>
      <c r="T95" s="55"/>
      <c r="U95" s="221"/>
      <c r="V95" s="55"/>
      <c r="W95" s="55"/>
      <c r="X95" s="55"/>
    </row>
    <row r="96" spans="1:28" ht="30" customHeight="1" x14ac:dyDescent="0.3">
      <c r="S96" s="55"/>
      <c r="T96" s="55"/>
      <c r="U96" s="221"/>
      <c r="V96" s="55"/>
      <c r="W96" s="55"/>
      <c r="X96" s="55"/>
    </row>
    <row r="97" spans="15:24" ht="30" customHeight="1" x14ac:dyDescent="0.3">
      <c r="S97" s="55"/>
      <c r="T97" s="55"/>
      <c r="U97" s="221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mGjOcl3aqQunWNTqaj6X4H/BI3GQuh0giqB+KCPJTfq0YUwA5YnaRS9cBFivCjVMYC8wZ2tJVZIHgrVl3/1hQw==" saltValue="ur8yHdSrzZx9hMU/Ber+3A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187" priority="9" operator="containsText" text="Change">
      <formula>NOT(ISERROR(SEARCH("Change",R1)))</formula>
    </cfRule>
  </conditionalFormatting>
  <conditionalFormatting sqref="R45:R48">
    <cfRule type="cellIs" dxfId="186" priority="7" operator="equal">
      <formula>"Send in Change Order"</formula>
    </cfRule>
  </conditionalFormatting>
  <conditionalFormatting sqref="W68">
    <cfRule type="cellIs" dxfId="185" priority="2" operator="notEqual">
      <formula>$E$82</formula>
    </cfRule>
    <cfRule type="cellIs" dxfId="184" priority="3" operator="greaterThan">
      <formula>$E$82</formula>
    </cfRule>
    <cfRule type="cellIs" dxfId="183" priority="4" operator="notEqual">
      <formula>$E$82</formula>
    </cfRule>
  </conditionalFormatting>
  <conditionalFormatting sqref="Z12:Z44">
    <cfRule type="cellIs" dxfId="182" priority="8" operator="lessThan">
      <formula>0</formula>
    </cfRule>
  </conditionalFormatting>
  <conditionalFormatting sqref="Z49:Z68">
    <cfRule type="cellIs" dxfId="181" priority="5" operator="lessThan">
      <formula>0</formula>
    </cfRule>
  </conditionalFormatting>
  <conditionalFormatting sqref="AA68">
    <cfRule type="cellIs" dxfId="180" priority="1" operator="notEqual">
      <formula>$O$82</formula>
    </cfRule>
  </conditionalFormatting>
  <conditionalFormatting sqref="AB1:AB1048576">
    <cfRule type="containsText" dxfId="179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2" manualBreakCount="12">
    <brk id="6" max="88" man="1"/>
    <brk id="10" max="1048575" man="1"/>
    <brk id="16" max="88" man="1"/>
    <brk id="18" max="1048575" man="1"/>
    <brk id="27" max="88" man="1"/>
    <brk id="29" max="1048575" man="1"/>
    <brk id="51" max="1048575" man="1"/>
    <brk id="52" max="1048575" man="1"/>
    <brk id="99" max="1048575" man="1"/>
    <brk id="101" max="1048575" man="1"/>
    <brk id="110" max="1048575" man="1"/>
    <brk id="1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35"/>
  <sheetViews>
    <sheetView view="pageBreakPreview" zoomScale="60" zoomScaleNormal="75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4414062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6.21875" style="50" customWidth="1"/>
    <col min="19" max="19" width="6.44140625" style="39" customWidth="1"/>
    <col min="20" max="20" width="32.44140625" style="39" customWidth="1"/>
    <col min="21" max="21" width="17.77734375" style="206" customWidth="1"/>
    <col min="22" max="27" width="18.88671875" style="39" customWidth="1"/>
    <col min="28" max="28" width="25.554687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1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s="12" customFormat="1" ht="30" customHeight="1" x14ac:dyDescent="0.3">
      <c r="A2" s="143" t="s">
        <v>21</v>
      </c>
      <c r="B2" s="141"/>
      <c r="C2" s="142"/>
      <c r="D2" s="39"/>
      <c r="E2" s="144">
        <f>'Project Info'!C7</f>
        <v>0</v>
      </c>
      <c r="F2" s="41"/>
      <c r="G2" s="194"/>
      <c r="H2" s="194"/>
      <c r="I2" s="244"/>
      <c r="J2" s="40"/>
      <c r="K2" s="143" t="s">
        <v>22</v>
      </c>
      <c r="L2" s="141"/>
      <c r="M2" s="142"/>
      <c r="N2" s="39"/>
      <c r="O2" s="144">
        <f>'Project Info'!C7</f>
        <v>0</v>
      </c>
      <c r="P2" s="41"/>
      <c r="Q2" s="40"/>
      <c r="R2" s="50"/>
      <c r="S2" s="53" t="s">
        <v>23</v>
      </c>
      <c r="T2" s="39"/>
      <c r="U2" s="206"/>
      <c r="V2" s="39"/>
      <c r="W2" s="39"/>
      <c r="X2" s="39"/>
      <c r="Y2" s="39"/>
      <c r="Z2" s="39"/>
      <c r="AA2" s="39"/>
      <c r="AB2" s="54"/>
      <c r="AC2" s="40"/>
      <c r="AD2" s="37"/>
      <c r="AE2" s="39"/>
      <c r="AF2" s="39"/>
      <c r="AG2" s="39"/>
    </row>
    <row r="3" spans="1:33" s="12" customFormat="1" ht="30" customHeight="1" x14ac:dyDescent="0.3">
      <c r="A3" s="142"/>
      <c r="B3" s="141"/>
      <c r="C3" s="142"/>
      <c r="D3" s="39"/>
      <c r="E3" s="144">
        <f>'Project Info'!F13</f>
        <v>0</v>
      </c>
      <c r="F3" s="41"/>
      <c r="G3" s="194"/>
      <c r="H3" s="194"/>
      <c r="I3" s="244"/>
      <c r="J3" s="40"/>
      <c r="K3" s="142"/>
      <c r="L3" s="141"/>
      <c r="M3" s="142"/>
      <c r="N3" s="39"/>
      <c r="O3" s="144">
        <f>'Project Info'!F13</f>
        <v>0</v>
      </c>
      <c r="P3" s="41"/>
      <c r="Q3" s="40"/>
      <c r="R3" s="50"/>
      <c r="S3" s="55"/>
      <c r="T3" s="39"/>
      <c r="U3" s="62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2</v>
      </c>
      <c r="AB3" s="58"/>
      <c r="AC3" s="40"/>
      <c r="AD3" s="37"/>
      <c r="AE3" s="39"/>
      <c r="AF3" s="39"/>
      <c r="AG3" s="39"/>
    </row>
    <row r="4" spans="1:33" s="12" customFormat="1" ht="30" customHeight="1" x14ac:dyDescent="0.3">
      <c r="A4" s="142"/>
      <c r="B4" s="141"/>
      <c r="C4" s="142"/>
      <c r="D4" s="39"/>
      <c r="E4" s="146"/>
      <c r="F4" s="39"/>
      <c r="G4" s="92"/>
      <c r="H4" s="194"/>
      <c r="I4" s="244"/>
      <c r="J4" s="40"/>
      <c r="K4" s="142"/>
      <c r="L4" s="141"/>
      <c r="M4" s="142"/>
      <c r="N4" s="39"/>
      <c r="O4" s="146"/>
      <c r="P4" s="39"/>
      <c r="Q4" s="40"/>
      <c r="R4" s="50"/>
      <c r="S4" s="55"/>
      <c r="T4" s="39"/>
      <c r="U4" s="62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  <c r="AC4" s="40"/>
      <c r="AD4" s="39"/>
      <c r="AE4" s="39"/>
      <c r="AF4" s="39"/>
      <c r="AG4" s="39"/>
    </row>
    <row r="5" spans="1:33" s="9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T5" s="37"/>
      <c r="U5" s="62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9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77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3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07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3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08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2</v>
      </c>
    </row>
    <row r="10" spans="1:33" ht="30" customHeight="1" x14ac:dyDescent="0.3">
      <c r="A10" s="159"/>
      <c r="B10" s="153"/>
      <c r="C10" s="153"/>
      <c r="D10" s="154"/>
      <c r="E10" s="155"/>
      <c r="F10" s="156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3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114"/>
      <c r="T11" s="79"/>
      <c r="U11" s="90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3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#1'!V12,"OK","Send in Change Order")</f>
        <v>OK</v>
      </c>
      <c r="S12" s="85">
        <v>1</v>
      </c>
      <c r="T12" s="86" t="str">
        <f>'Request #1'!T12</f>
        <v>Land/Site Grading &amp; Improv.</v>
      </c>
      <c r="U12" s="216">
        <f>'Request #1'!U12</f>
        <v>0</v>
      </c>
      <c r="V12" s="87">
        <f>'Request #1'!V12</f>
        <v>0</v>
      </c>
      <c r="W12" s="88">
        <f>SUMIF(F7:F79,1,E7:E79)</f>
        <v>0</v>
      </c>
      <c r="X12" s="88">
        <f>'Request #1'!Y12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89" t="str">
        <f>IF(W12&gt;='Request #1'!AA12,"OK","Alert,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3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#1'!V13,"OK","Send in Change Order")</f>
        <v>OK</v>
      </c>
      <c r="S13" s="85">
        <v>2</v>
      </c>
      <c r="T13" s="86" t="str">
        <f>'Request #1'!T13</f>
        <v xml:space="preserve">General Contract </v>
      </c>
      <c r="U13" s="216">
        <f>'Request #1'!U13</f>
        <v>0</v>
      </c>
      <c r="V13" s="87">
        <f>'Request #1'!V13</f>
        <v>0</v>
      </c>
      <c r="W13" s="88">
        <f>SUMIF(F7:F79,2,E7:E79)</f>
        <v>0</v>
      </c>
      <c r="X13" s="88">
        <f>'Request #1'!Y13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89" t="str">
        <f>IF(W13&gt;='Request #1'!AA13,"OK","Alert, Explain")</f>
        <v>OK</v>
      </c>
    </row>
    <row r="14" spans="1:33" ht="30" customHeight="1" x14ac:dyDescent="0.35">
      <c r="A14" s="152"/>
      <c r="B14" s="153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#1'!V14,"OK","Send in Change Order")</f>
        <v>OK</v>
      </c>
      <c r="S14" s="85">
        <v>3</v>
      </c>
      <c r="T14" s="86" t="str">
        <f>'Request #1'!T14</f>
        <v>Designer Contract</v>
      </c>
      <c r="U14" s="216">
        <f>'Request #1'!U14</f>
        <v>0</v>
      </c>
      <c r="V14" s="87">
        <f>'Request #1'!V14</f>
        <v>0</v>
      </c>
      <c r="W14" s="88">
        <f>SUMIF(F7:F79,3,E7:E79)</f>
        <v>0</v>
      </c>
      <c r="X14" s="88">
        <f>'Request #1'!Y14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89" t="str">
        <f>IF(W14&gt;='Request #1'!AA14,"OK","Alert,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3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#1'!V15,"OK","Send in Change Order")</f>
        <v>OK</v>
      </c>
      <c r="S15" s="85">
        <v>4</v>
      </c>
      <c r="T15" s="86" t="str">
        <f>'Request #1'!T15</f>
        <v>Designer Reimbursables</v>
      </c>
      <c r="U15" s="216">
        <f>'Request #1'!U15</f>
        <v>0</v>
      </c>
      <c r="V15" s="87">
        <f>'Request #1'!V15</f>
        <v>0</v>
      </c>
      <c r="W15" s="88">
        <f>SUMIF(F7:F79,4,E7:E79)</f>
        <v>0</v>
      </c>
      <c r="X15" s="88">
        <f>'Request #1'!Y15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89" t="str">
        <f>IF(W15&gt;='Request #1'!AA15,"OK","Alert, Explain")</f>
        <v>OK</v>
      </c>
      <c r="AE15" s="55" t="s">
        <v>70</v>
      </c>
      <c r="AF15" s="285"/>
    </row>
    <row r="16" spans="1:33" ht="30" customHeight="1" x14ac:dyDescent="0.35">
      <c r="A16" s="159"/>
      <c r="B16" s="153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#1'!V16,"OK","Send in Change Order")</f>
        <v>OK</v>
      </c>
      <c r="S16" s="85">
        <v>5</v>
      </c>
      <c r="T16" s="86" t="str">
        <f>'Request #1'!T16</f>
        <v>Other Contracts</v>
      </c>
      <c r="U16" s="216">
        <f>'Request #1'!U16</f>
        <v>0</v>
      </c>
      <c r="V16" s="87">
        <f>'Request #1'!V16</f>
        <v>0</v>
      </c>
      <c r="W16" s="88">
        <f>SUMIF(F7:F79,5,E7:E79)</f>
        <v>0</v>
      </c>
      <c r="X16" s="88">
        <f>'Request #1'!Y16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89" t="str">
        <f>IF(W16&gt;='Request #1'!AA16,"OK","Alert,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3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#1'!V17,"OK","Send in Change Order")</f>
        <v>OK</v>
      </c>
      <c r="S17" s="85">
        <v>6</v>
      </c>
      <c r="T17" s="86" t="str">
        <f>'Request #1'!T17</f>
        <v>Other Contracts</v>
      </c>
      <c r="U17" s="216">
        <f>'Request #1'!U17</f>
        <v>0</v>
      </c>
      <c r="V17" s="87">
        <f>'Request #1'!V17</f>
        <v>0</v>
      </c>
      <c r="W17" s="88">
        <f>SUMIF(F7:F79,6,E7:E79)</f>
        <v>0</v>
      </c>
      <c r="X17" s="88">
        <f>'Request #1'!Y17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89" t="str">
        <f>IF(W17&gt;='Request #1'!AA17,"OK","Alert, Explain")</f>
        <v>OK</v>
      </c>
    </row>
    <row r="18" spans="1:33" ht="30" customHeight="1" x14ac:dyDescent="0.3">
      <c r="A18" s="152"/>
      <c r="B18" s="153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#1'!V18,"OK","Send in Change Order")</f>
        <v>OK</v>
      </c>
      <c r="S18" s="85">
        <v>7</v>
      </c>
      <c r="T18" s="86" t="str">
        <f>'Request #1'!T18</f>
        <v>Other Contracts</v>
      </c>
      <c r="U18" s="216">
        <f>'Request #1'!U18</f>
        <v>0</v>
      </c>
      <c r="V18" s="87">
        <f>'Request #1'!V18</f>
        <v>0</v>
      </c>
      <c r="W18" s="88">
        <f>SUMIF(F7:F79,7,E7:E79)</f>
        <v>0</v>
      </c>
      <c r="X18" s="88">
        <f>'Request #1'!Y18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89" t="str">
        <f>IF(W18&gt;='Request #1'!AA18,"OK","Alert, Explain")</f>
        <v>OK</v>
      </c>
      <c r="AE18" s="271"/>
      <c r="AF18" s="73"/>
      <c r="AG18" s="271"/>
    </row>
    <row r="19" spans="1:33" ht="30" customHeight="1" x14ac:dyDescent="0.3">
      <c r="A19" s="152"/>
      <c r="B19" s="153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#1'!V19,"OK","Send in Change Order")</f>
        <v>OK</v>
      </c>
      <c r="S19" s="85">
        <v>8</v>
      </c>
      <c r="T19" s="86" t="str">
        <f>'Request #1'!T19</f>
        <v>Other Contracts</v>
      </c>
      <c r="U19" s="216">
        <f>'Request #1'!U19</f>
        <v>0</v>
      </c>
      <c r="V19" s="87">
        <f>'Request #1'!V19</f>
        <v>0</v>
      </c>
      <c r="W19" s="88">
        <f>SUMIF(F7:F79,8,E7:E79)</f>
        <v>0</v>
      </c>
      <c r="X19" s="88">
        <f>'Request #1'!Y19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89" t="str">
        <f>IF(W19&gt;='Request #1'!AA19,"OK","Alert,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9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#1'!V20,"OK","Send in Change Order")</f>
        <v>OK</v>
      </c>
      <c r="S20" s="85">
        <v>9</v>
      </c>
      <c r="T20" s="86" t="str">
        <f>'Request #1'!T20</f>
        <v>Other Contracts</v>
      </c>
      <c r="U20" s="216">
        <f>'Request #1'!U20</f>
        <v>0</v>
      </c>
      <c r="V20" s="87">
        <f>'Request #1'!V20</f>
        <v>0</v>
      </c>
      <c r="W20" s="88">
        <f>SUMIF(F7:F79,9,E7:E79)</f>
        <v>0</v>
      </c>
      <c r="X20" s="88">
        <f>'Request #1'!Y20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89" t="str">
        <f>IF(W20&gt;='Request #1'!AA20,"OK","Alert,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#1'!V21,"OK","Send in Change Order")</f>
        <v>OK</v>
      </c>
      <c r="S21" s="85">
        <v>10</v>
      </c>
      <c r="T21" s="86" t="str">
        <f>'Request #1'!T21</f>
        <v>Other Contracts</v>
      </c>
      <c r="U21" s="216">
        <f>'Request #1'!U21</f>
        <v>0</v>
      </c>
      <c r="V21" s="87">
        <f>'Request #1'!V21</f>
        <v>0</v>
      </c>
      <c r="W21" s="88">
        <f>SUMIF(F7:F79,10,E7:E79)</f>
        <v>0</v>
      </c>
      <c r="X21" s="88">
        <f>'Request #1'!Y21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89" t="str">
        <f>IF(W21&gt;='Request #1'!AA21,"OK","Alert,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#1'!V22,"OK","Send in Change Order")</f>
        <v>OK</v>
      </c>
      <c r="S22" s="85">
        <v>11</v>
      </c>
      <c r="T22" s="86" t="str">
        <f>'Request #1'!T22</f>
        <v>Other Contracts</v>
      </c>
      <c r="U22" s="216">
        <f>'Request #1'!U22</f>
        <v>0</v>
      </c>
      <c r="V22" s="87">
        <f>'Request #1'!V22</f>
        <v>0</v>
      </c>
      <c r="W22" s="88">
        <f>SUMIF(F7:F79,11,E7:E79)</f>
        <v>0</v>
      </c>
      <c r="X22" s="88">
        <f>'Request #1'!Y22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89" t="str">
        <f>IF(W22&gt;='Request #1'!AA22,"OK","Alert,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#1'!V23,"OK","Send in Change Order")</f>
        <v>OK</v>
      </c>
      <c r="S23" s="85">
        <v>12</v>
      </c>
      <c r="T23" s="86" t="str">
        <f>'Request #1'!T23</f>
        <v>Other Contracts</v>
      </c>
      <c r="U23" s="216">
        <f>'Request #1'!U23</f>
        <v>0</v>
      </c>
      <c r="V23" s="87">
        <f>'Request #1'!V23</f>
        <v>0</v>
      </c>
      <c r="W23" s="88">
        <f>SUMIF(F7:F79,12,E7:E79)</f>
        <v>0</v>
      </c>
      <c r="X23" s="88">
        <f>'Request #1'!Y23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89" t="str">
        <f>IF(W23&gt;='Request #1'!AA23,"OK","Alert,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#1'!V24,"OK","Send in Change Order")</f>
        <v>OK</v>
      </c>
      <c r="S24" s="85">
        <v>13</v>
      </c>
      <c r="T24" s="86" t="str">
        <f>'Request #1'!T24</f>
        <v>Other Contracts</v>
      </c>
      <c r="U24" s="216">
        <f>'Request #1'!U24</f>
        <v>0</v>
      </c>
      <c r="V24" s="87">
        <f>'Request #1'!V24</f>
        <v>0</v>
      </c>
      <c r="W24" s="88">
        <f>SUMIF(F7:F79,13,E7:E79)</f>
        <v>0</v>
      </c>
      <c r="X24" s="88">
        <f>'Request #1'!Y24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89" t="str">
        <f>IF(W24&gt;='Request #1'!AA24,"OK","Alert,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#1'!V25,"OK","Send in Change Order")</f>
        <v>OK</v>
      </c>
      <c r="S25" s="85">
        <v>14</v>
      </c>
      <c r="T25" s="86" t="str">
        <f>'Request #1'!T25</f>
        <v>Other Contracts</v>
      </c>
      <c r="U25" s="216">
        <f>'Request #1'!U25</f>
        <v>0</v>
      </c>
      <c r="V25" s="87">
        <f>'Request #1'!V25</f>
        <v>0</v>
      </c>
      <c r="W25" s="88">
        <f>SUMIF(F7:F79,14,E7:E79)</f>
        <v>0</v>
      </c>
      <c r="X25" s="88">
        <f>'Request #1'!Y25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89" t="str">
        <f>IF(W25&gt;='Request #1'!AA25,"OK","Alert,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#1'!V26,"OK","Send in Change Order")</f>
        <v>OK</v>
      </c>
      <c r="S26" s="85">
        <v>15</v>
      </c>
      <c r="T26" s="86" t="str">
        <f>'Request #1'!T26</f>
        <v>Other Contracts</v>
      </c>
      <c r="U26" s="216">
        <f>'Request #1'!U26</f>
        <v>0</v>
      </c>
      <c r="V26" s="87">
        <f>'Request #1'!V26</f>
        <v>0</v>
      </c>
      <c r="W26" s="88">
        <f>SUMIF(F7:F79,15,E7:E79)</f>
        <v>0</v>
      </c>
      <c r="X26" s="88">
        <f>'Request #1'!Y26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89" t="str">
        <f>IF(W26&gt;='Request #1'!AA26,"OK","Alert,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#1'!V27,"OK","Send in Change Order")</f>
        <v>OK</v>
      </c>
      <c r="S27" s="85">
        <v>16</v>
      </c>
      <c r="T27" s="86" t="str">
        <f>'Request #1'!T27</f>
        <v>Other Contracts</v>
      </c>
      <c r="U27" s="216">
        <f>'Request #1'!U27</f>
        <v>0</v>
      </c>
      <c r="V27" s="87">
        <f>'Request #1'!V27</f>
        <v>0</v>
      </c>
      <c r="W27" s="88">
        <f>SUMIF(F7:F79,16,E7:E79)</f>
        <v>0</v>
      </c>
      <c r="X27" s="88">
        <f>'Request #1'!Y27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89" t="str">
        <f>IF(W27&gt;='Request #1'!AA27,"OK","Alert,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#1'!V28,"OK","Send in Change Order")</f>
        <v>OK</v>
      </c>
      <c r="S28" s="85">
        <v>17</v>
      </c>
      <c r="T28" s="86" t="str">
        <f>'Request #1'!T28</f>
        <v>Other Contracts</v>
      </c>
      <c r="U28" s="216">
        <f>'Request #1'!U28</f>
        <v>0</v>
      </c>
      <c r="V28" s="87">
        <f>'Request #1'!V28</f>
        <v>0</v>
      </c>
      <c r="W28" s="88">
        <f>SUMIF(F7:F79,17,E7:E79)</f>
        <v>0</v>
      </c>
      <c r="X28" s="88">
        <f>'Request #1'!Y28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89" t="str">
        <f>IF(W28&gt;='Request #1'!AA28,"OK","Alert,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#1'!V29,"OK","Send in Change Order")</f>
        <v>OK</v>
      </c>
      <c r="S29" s="85">
        <v>18</v>
      </c>
      <c r="T29" s="86" t="str">
        <f>'Request #1'!T29</f>
        <v>Other Contracts</v>
      </c>
      <c r="U29" s="216">
        <f>'Request #1'!U29</f>
        <v>0</v>
      </c>
      <c r="V29" s="87">
        <f>'Request #1'!V29</f>
        <v>0</v>
      </c>
      <c r="W29" s="88">
        <f>SUMIF(F7:F79,18,E7:E79)</f>
        <v>0</v>
      </c>
      <c r="X29" s="88">
        <f>'Request #1'!Y29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89" t="str">
        <f>IF(W29&gt;='Request #1'!AA29,"OK","Alert,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#1'!V30,"OK","Send in Change Order")</f>
        <v>OK</v>
      </c>
      <c r="S30" s="85">
        <v>19</v>
      </c>
      <c r="T30" s="86" t="str">
        <f>'Request #1'!T30</f>
        <v>Other Contracts</v>
      </c>
      <c r="U30" s="216">
        <f>'Request #1'!U30</f>
        <v>0</v>
      </c>
      <c r="V30" s="87">
        <f>'Request #1'!V30</f>
        <v>0</v>
      </c>
      <c r="W30" s="88">
        <f>SUMIF(F7:F79,19,E7:E79)</f>
        <v>0</v>
      </c>
      <c r="X30" s="88">
        <f>'Request #1'!Y30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89" t="str">
        <f>IF(W30&gt;='Request #1'!AA30,"OK","Alert,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#1'!V31,"OK","Send in Change Order")</f>
        <v>OK</v>
      </c>
      <c r="S31" s="85">
        <v>20</v>
      </c>
      <c r="T31" s="86" t="str">
        <f>'Request #1'!T31</f>
        <v>Other Contracts</v>
      </c>
      <c r="U31" s="216">
        <f>'Request #1'!U31</f>
        <v>0</v>
      </c>
      <c r="V31" s="87">
        <f>'Request #1'!V31</f>
        <v>0</v>
      </c>
      <c r="W31" s="88">
        <f>SUMIF(F7:F79,20,E7:E79)</f>
        <v>0</v>
      </c>
      <c r="X31" s="88">
        <f>'Request #1'!Y31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89" t="str">
        <f>IF(W31&gt;='Request #1'!AA31,"OK","Alert,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#1'!V32,"OK","Send in Change Order")</f>
        <v>OK</v>
      </c>
      <c r="S32" s="85">
        <v>21</v>
      </c>
      <c r="T32" s="86" t="str">
        <f>'Request #1'!T32</f>
        <v>Other Contracts</v>
      </c>
      <c r="U32" s="216">
        <f>'Request #1'!U32</f>
        <v>0</v>
      </c>
      <c r="V32" s="87">
        <f>'Request #1'!V32</f>
        <v>0</v>
      </c>
      <c r="W32" s="88">
        <f>SUMIF(F7:F79,21,E7:E79)</f>
        <v>0</v>
      </c>
      <c r="X32" s="88">
        <f>'Request #1'!Y32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89" t="str">
        <f>IF(W32&gt;='Request #1'!AA32,"OK","Alert,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#1'!V33,"OK","Send in Change Order")</f>
        <v>OK</v>
      </c>
      <c r="S33" s="85">
        <v>22</v>
      </c>
      <c r="T33" s="86" t="str">
        <f>'Request #1'!T33</f>
        <v>Other Contracts</v>
      </c>
      <c r="U33" s="216">
        <f>'Request #1'!U33</f>
        <v>0</v>
      </c>
      <c r="V33" s="87">
        <f>'Request #1'!V33</f>
        <v>0</v>
      </c>
      <c r="W33" s="88">
        <f>SUMIF(F7:F79,22,E7:E79)</f>
        <v>0</v>
      </c>
      <c r="X33" s="88">
        <f>'Request #1'!Y33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89" t="str">
        <f>IF(W33&gt;='Request #1'!AA33,"OK","Alert,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#1'!V34,"OK","Send in Change Order")</f>
        <v>OK</v>
      </c>
      <c r="S34" s="85">
        <v>23</v>
      </c>
      <c r="T34" s="86" t="str">
        <f>'Request #1'!T34</f>
        <v>Other Contracts</v>
      </c>
      <c r="U34" s="216">
        <f>'Request #1'!U34</f>
        <v>0</v>
      </c>
      <c r="V34" s="87">
        <f>'Request #1'!V34</f>
        <v>0</v>
      </c>
      <c r="W34" s="88">
        <f>SUMIF(F7:F79,23,E7:E79)</f>
        <v>0</v>
      </c>
      <c r="X34" s="88">
        <f>'Request #1'!Y34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89" t="str">
        <f>IF(W34&gt;='Request #1'!AA34,"OK","Alert,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#1'!V35,"OK","Send in Change Order")</f>
        <v>OK</v>
      </c>
      <c r="S35" s="85">
        <v>24</v>
      </c>
      <c r="T35" s="86" t="str">
        <f>'Request #1'!T35</f>
        <v>Other Contracts</v>
      </c>
      <c r="U35" s="216">
        <f>'Request #1'!U35</f>
        <v>0</v>
      </c>
      <c r="V35" s="87">
        <f>'Request #1'!V35</f>
        <v>0</v>
      </c>
      <c r="W35" s="88">
        <f>SUMIF(F7:F79,24,E7:E79)</f>
        <v>0</v>
      </c>
      <c r="X35" s="88">
        <f>'Request #1'!Y35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89" t="str">
        <f>IF(W35&gt;='Request #1'!AA35,"OK","Alert,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#1'!V36,"OK","Send in Change Order")</f>
        <v>OK</v>
      </c>
      <c r="S36" s="85">
        <v>25</v>
      </c>
      <c r="T36" s="86" t="str">
        <f>'Request #1'!T36</f>
        <v>Other Contracts</v>
      </c>
      <c r="U36" s="216">
        <f>'Request #1'!U36</f>
        <v>0</v>
      </c>
      <c r="V36" s="87">
        <f>'Request #1'!V36</f>
        <v>0</v>
      </c>
      <c r="W36" s="88">
        <f>SUMIF(F7:F79,25,E7:E79)</f>
        <v>0</v>
      </c>
      <c r="X36" s="88">
        <f>'Request #1'!Y36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89" t="str">
        <f>IF(W36&gt;='Request #1'!AA36,"OK","Alert,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#1'!V37,"OK","Send in Change Order")</f>
        <v>OK</v>
      </c>
      <c r="S37" s="85">
        <v>26</v>
      </c>
      <c r="T37" s="86" t="str">
        <f>'Request #1'!T37</f>
        <v>Other Fees</v>
      </c>
      <c r="U37" s="216">
        <f>'Request #1'!U37</f>
        <v>0</v>
      </c>
      <c r="V37" s="87">
        <f>'Request #1'!V37</f>
        <v>0</v>
      </c>
      <c r="W37" s="88">
        <f>SUMIF(F7:F79,26,E7:E79)</f>
        <v>0</v>
      </c>
      <c r="X37" s="88">
        <f>'Request #1'!Y37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89" t="str">
        <f>IF(W37&gt;='Request #1'!AA37,"OK","Alert,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#1'!V38,"OK","Send in Change Order")</f>
        <v>OK</v>
      </c>
      <c r="S38" s="85">
        <v>27</v>
      </c>
      <c r="T38" s="86" t="str">
        <f>'Request #1'!T38</f>
        <v>Other Fees</v>
      </c>
      <c r="U38" s="216">
        <f>'Request #1'!U38</f>
        <v>0</v>
      </c>
      <c r="V38" s="87">
        <f>'Request #1'!V38</f>
        <v>0</v>
      </c>
      <c r="W38" s="88">
        <f>SUMIF(F7:F79,27,E7:E79)</f>
        <v>0</v>
      </c>
      <c r="X38" s="88">
        <f>'Request #1'!Y38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89" t="str">
        <f>IF(W38&gt;='Request #1'!AA38,"OK","Alert,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#1'!V39,"OK","Send in Change Order")</f>
        <v>OK</v>
      </c>
      <c r="S39" s="85">
        <v>28</v>
      </c>
      <c r="T39" s="86" t="str">
        <f>'Request #1'!T39</f>
        <v>Other Fees</v>
      </c>
      <c r="U39" s="216">
        <f>'Request #1'!U39</f>
        <v>0</v>
      </c>
      <c r="V39" s="87">
        <f>'Request #1'!V39</f>
        <v>0</v>
      </c>
      <c r="W39" s="88">
        <f>SUMIF(F7:F79,28,E7:E79)</f>
        <v>0</v>
      </c>
      <c r="X39" s="88">
        <f>'Request #1'!Y39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89" t="str">
        <f>IF(W39&gt;='Request #1'!AA39,"OK","Alert,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#1'!V40,"OK","Send in Change Order")</f>
        <v>OK</v>
      </c>
      <c r="S40" s="85">
        <v>29</v>
      </c>
      <c r="T40" s="86" t="str">
        <f>'Request #1'!T40</f>
        <v>Other Fees</v>
      </c>
      <c r="U40" s="216">
        <f>'Request #1'!U40</f>
        <v>0</v>
      </c>
      <c r="V40" s="87">
        <f>'Request #1'!V40</f>
        <v>0</v>
      </c>
      <c r="W40" s="88">
        <f>SUMIF(F7:F79,29,E7:E79)</f>
        <v>0</v>
      </c>
      <c r="X40" s="88">
        <f>'Request #1'!Y40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89" t="str">
        <f>IF(W40&gt;='Request #1'!AA40,"OK","Alert,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#1'!V41,"OK","Send in Change Order")</f>
        <v>OK</v>
      </c>
      <c r="S41" s="85">
        <v>30</v>
      </c>
      <c r="T41" s="86" t="str">
        <f>'Request #1'!T41</f>
        <v>Other Fees</v>
      </c>
      <c r="U41" s="216">
        <f>'Request #1'!U41</f>
        <v>0</v>
      </c>
      <c r="V41" s="87">
        <f>'Request #1'!V41</f>
        <v>0</v>
      </c>
      <c r="W41" s="88">
        <f>SUMIF(F7:F79,30,E7:E79)</f>
        <v>0</v>
      </c>
      <c r="X41" s="88">
        <f>'Request #1'!Y41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89" t="str">
        <f>IF(W41&gt;='Request #1'!AA41,"OK","Alert, Explain")</f>
        <v>OK</v>
      </c>
      <c r="AE41" s="101"/>
      <c r="AF41" s="92"/>
      <c r="AG41" s="92"/>
    </row>
    <row r="42" spans="1:33" s="12" customFormat="1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J42" s="40"/>
      <c r="K42" s="159"/>
      <c r="L42" s="157"/>
      <c r="M42" s="157"/>
      <c r="N42" s="154"/>
      <c r="O42" s="155"/>
      <c r="P42" s="158"/>
      <c r="Q42" s="40"/>
      <c r="R42" s="50" t="str">
        <f>IF(V42='Request #1'!V42,"OK","Send in Change Order")</f>
        <v>OK</v>
      </c>
      <c r="S42" s="85">
        <v>31</v>
      </c>
      <c r="T42" s="86" t="str">
        <f>'Request #1'!T42</f>
        <v>Other Fees</v>
      </c>
      <c r="U42" s="216">
        <f>'Request #1'!U42</f>
        <v>0</v>
      </c>
      <c r="V42" s="87">
        <f>'Request #1'!V42</f>
        <v>0</v>
      </c>
      <c r="W42" s="88">
        <f>SUMIF(F7:F79,31,E7:E79)</f>
        <v>0</v>
      </c>
      <c r="X42" s="88">
        <f>'Request #1'!Y42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89" t="str">
        <f>IF(W42&gt;='Request #1'!AA42,"OK","Alert, Explain")</f>
        <v>OK</v>
      </c>
      <c r="AC42" s="40"/>
      <c r="AD42" s="39"/>
      <c r="AE42" s="100" t="s">
        <v>8</v>
      </c>
      <c r="AF42" s="92"/>
      <c r="AG42" s="92"/>
    </row>
    <row r="43" spans="1:33" s="12" customFormat="1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J43" s="40"/>
      <c r="K43" s="159"/>
      <c r="L43" s="157"/>
      <c r="M43" s="157"/>
      <c r="N43" s="154"/>
      <c r="O43" s="155"/>
      <c r="P43" s="158"/>
      <c r="Q43" s="40"/>
      <c r="R43" s="50" t="str">
        <f>IF(V43='Request #1'!V43,"OK","Send in Change Order")</f>
        <v>OK</v>
      </c>
      <c r="S43" s="85">
        <v>32</v>
      </c>
      <c r="T43" s="86" t="str">
        <f>'Request #1'!T43</f>
        <v>Other Fees</v>
      </c>
      <c r="U43" s="216">
        <f>'Request #1'!U43</f>
        <v>0</v>
      </c>
      <c r="V43" s="87">
        <f>'Request #1'!V43</f>
        <v>0</v>
      </c>
      <c r="W43" s="88">
        <f>SUMIF(F7:F79,32,E7:E79)</f>
        <v>0</v>
      </c>
      <c r="X43" s="88">
        <f>'Request #1'!Y43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89" t="str">
        <f>IF(W43&gt;='Request #1'!AA43,"OK","Alert, Explain")</f>
        <v>OK</v>
      </c>
      <c r="AC43" s="40"/>
      <c r="AD43" s="39"/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#1'!V44,"OK","Send in Change Order")</f>
        <v>OK</v>
      </c>
      <c r="S44" s="85">
        <v>33</v>
      </c>
      <c r="T44" s="86" t="str">
        <f>'Request #1'!T44</f>
        <v>Other Fees</v>
      </c>
      <c r="U44" s="216">
        <f>'Request #1'!U44</f>
        <v>0</v>
      </c>
      <c r="V44" s="87">
        <f>'Request #1'!V44</f>
        <v>0</v>
      </c>
      <c r="W44" s="88">
        <f>SUMIF(F7:F79,33,E7:E79)</f>
        <v>0</v>
      </c>
      <c r="X44" s="88">
        <f>'Request #1'!Y44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89" t="str">
        <f>IF(W44&gt;='Request #1'!AA44,"OK","Alert,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33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#1'!V49,"OK","Send in Change Order")</f>
        <v>OK</v>
      </c>
      <c r="S49" s="85">
        <v>38</v>
      </c>
      <c r="T49" s="86" t="str">
        <f>'Request #1'!T49</f>
        <v>Other Fees</v>
      </c>
      <c r="U49" s="216">
        <f>'Request #1'!U49</f>
        <v>0</v>
      </c>
      <c r="V49" s="87">
        <f>'Request #1'!V49</f>
        <v>0</v>
      </c>
      <c r="W49" s="88">
        <f>SUMIF(F7:F79,38,E7:E79)</f>
        <v>0</v>
      </c>
      <c r="X49" s="88">
        <f>'Request #1'!Y49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89" t="str">
        <f>IF(W49&gt;='Request #1'!AA49,"OK","Alert, Explain")</f>
        <v>OK</v>
      </c>
    </row>
    <row r="50" spans="1:33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#1'!V50,"OK","Send in Change Order")</f>
        <v>OK</v>
      </c>
      <c r="S50" s="85">
        <v>39</v>
      </c>
      <c r="T50" s="86" t="str">
        <f>'Request #1'!T50</f>
        <v>Other Fees</v>
      </c>
      <c r="U50" s="216">
        <f>'Request #1'!U50</f>
        <v>0</v>
      </c>
      <c r="V50" s="87">
        <f>'Request #1'!V50</f>
        <v>0</v>
      </c>
      <c r="W50" s="88">
        <f>SUMIF(F7:F79,39,E7:E79)</f>
        <v>0</v>
      </c>
      <c r="X50" s="88">
        <f>'Request #1'!Y50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89" t="str">
        <f>IF(W50&gt;='Request #1'!AA50,"OK","Alert, Explain")</f>
        <v>OK</v>
      </c>
    </row>
    <row r="51" spans="1:33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#1'!V51,"OK","Send in Change Order")</f>
        <v>OK</v>
      </c>
      <c r="S51" s="85">
        <v>40</v>
      </c>
      <c r="T51" s="86" t="str">
        <f>'Request #1'!T51</f>
        <v>Other Fees</v>
      </c>
      <c r="U51" s="216">
        <f>'Request #1'!U51</f>
        <v>0</v>
      </c>
      <c r="V51" s="87">
        <f>'Request #1'!V51</f>
        <v>0</v>
      </c>
      <c r="W51" s="88">
        <f>SUMIF(F7:F79,40,E7:E79)</f>
        <v>0</v>
      </c>
      <c r="X51" s="88">
        <f>'Request #1'!Y51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89" t="str">
        <f>IF(W51&gt;='Request #1'!AA51,"OK","Alert, Explain")</f>
        <v>OK</v>
      </c>
    </row>
    <row r="52" spans="1:33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#1'!V52,"OK","Send in Change Order")</f>
        <v>OK</v>
      </c>
      <c r="S52" s="85">
        <v>41</v>
      </c>
      <c r="T52" s="86" t="str">
        <f>'Request #1'!T52</f>
        <v>Other Fees</v>
      </c>
      <c r="U52" s="216">
        <f>'Request #1'!U52</f>
        <v>0</v>
      </c>
      <c r="V52" s="87">
        <f>'Request #1'!V52</f>
        <v>0</v>
      </c>
      <c r="W52" s="88">
        <f>SUMIF(F7:F79,41,E7:E79)</f>
        <v>0</v>
      </c>
      <c r="X52" s="88">
        <f>'Request #1'!Y52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89" t="str">
        <f>IF(W52&gt;='Request #1'!AA52,"OK","Alert, Explain")</f>
        <v>OK</v>
      </c>
    </row>
    <row r="53" spans="1:33" s="5" customFormat="1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J53" s="40"/>
      <c r="K53" s="159"/>
      <c r="L53" s="157"/>
      <c r="M53" s="157"/>
      <c r="N53" s="154"/>
      <c r="O53" s="155"/>
      <c r="P53" s="158"/>
      <c r="Q53" s="40"/>
      <c r="R53" s="50" t="str">
        <f>IF(V53='Request #1'!V53,"OK","Send in Change Order")</f>
        <v>OK</v>
      </c>
      <c r="S53" s="85">
        <v>42</v>
      </c>
      <c r="T53" s="86" t="str">
        <f>'Request #1'!T53</f>
        <v>Other Fees</v>
      </c>
      <c r="U53" s="216">
        <f>'Request #1'!U53</f>
        <v>0</v>
      </c>
      <c r="V53" s="87">
        <f>'Request #1'!V53</f>
        <v>0</v>
      </c>
      <c r="W53" s="88">
        <f>SUMIF(F7:F79,42,E7:E79)</f>
        <v>0</v>
      </c>
      <c r="X53" s="88">
        <f>'Request #1'!Y53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89" t="str">
        <f>IF(W53&gt;='Request #1'!AA53,"OK","Alert, Explain")</f>
        <v>OK</v>
      </c>
      <c r="AC53" s="40"/>
      <c r="AD53" s="39"/>
      <c r="AE53" s="39"/>
      <c r="AF53" s="39"/>
      <c r="AG53" s="39"/>
    </row>
    <row r="54" spans="1:33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#1'!V54,"OK","Send in Change Order")</f>
        <v>OK</v>
      </c>
      <c r="S54" s="85">
        <v>43</v>
      </c>
      <c r="T54" s="86" t="str">
        <f>'Request #1'!T54</f>
        <v>Other Fees</v>
      </c>
      <c r="U54" s="216">
        <f>'Request #1'!U54</f>
        <v>0</v>
      </c>
      <c r="V54" s="87">
        <f>'Request #1'!V54</f>
        <v>0</v>
      </c>
      <c r="W54" s="88">
        <f>SUMIF(F7:F79,43,E7:E79)</f>
        <v>0</v>
      </c>
      <c r="X54" s="88">
        <f>'Request #1'!Y54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89" t="str">
        <f>IF(W54&gt;='Request #1'!AA54,"OK","Alert, Explain")</f>
        <v>OK</v>
      </c>
    </row>
    <row r="55" spans="1:33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#1'!V55,"OK","Send in Change Order")</f>
        <v>OK</v>
      </c>
      <c r="S55" s="85">
        <v>44</v>
      </c>
      <c r="T55" s="86" t="str">
        <f>'Request #1'!T55</f>
        <v>Other Fees</v>
      </c>
      <c r="U55" s="216">
        <f>'Request #1'!U55</f>
        <v>0</v>
      </c>
      <c r="V55" s="87">
        <f>'Request #1'!V55</f>
        <v>0</v>
      </c>
      <c r="W55" s="88">
        <f>SUMIF(F7:F79,44,E7:E79)</f>
        <v>0</v>
      </c>
      <c r="X55" s="88">
        <f>'Request #1'!Y55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89" t="str">
        <f>IF(W55&gt;='Request #1'!AA55,"OK","Alert, Explain")</f>
        <v>OK</v>
      </c>
    </row>
    <row r="56" spans="1:33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#1'!V56,"OK","Send in Change Order")</f>
        <v>OK</v>
      </c>
      <c r="S56" s="85">
        <v>45</v>
      </c>
      <c r="T56" s="86" t="str">
        <f>'Request #1'!T56</f>
        <v>Other Fees</v>
      </c>
      <c r="U56" s="216">
        <f>'Request #1'!U56</f>
        <v>0</v>
      </c>
      <c r="V56" s="87">
        <f>'Request #1'!V56</f>
        <v>0</v>
      </c>
      <c r="W56" s="88">
        <f>SUMIF(F7:F79,45,E7:E79)</f>
        <v>0</v>
      </c>
      <c r="X56" s="88">
        <f>'Request #1'!Y56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89" t="str">
        <f>IF(W56&gt;='Request #1'!AA56,"OK","Alert, Explain")</f>
        <v>OK</v>
      </c>
    </row>
    <row r="57" spans="1:33" s="12" customFormat="1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J57" s="40"/>
      <c r="K57" s="159"/>
      <c r="L57" s="157"/>
      <c r="M57" s="157"/>
      <c r="N57" s="154"/>
      <c r="O57" s="155"/>
      <c r="P57" s="158"/>
      <c r="Q57" s="40"/>
      <c r="R57" s="50" t="str">
        <f>IF(V57='Request #1'!V57,"OK","Send in Change Order")</f>
        <v>OK</v>
      </c>
      <c r="S57" s="85">
        <v>46</v>
      </c>
      <c r="T57" s="86" t="str">
        <f>'Request #1'!T57</f>
        <v>Other Fees</v>
      </c>
      <c r="U57" s="216">
        <f>'Request #1'!U57</f>
        <v>0</v>
      </c>
      <c r="V57" s="87">
        <f>'Request #1'!V57</f>
        <v>0</v>
      </c>
      <c r="W57" s="88">
        <f>SUMIF(F7:F79,46,E7:E79)</f>
        <v>0</v>
      </c>
      <c r="X57" s="88">
        <f>'Request #1'!Y57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89" t="str">
        <f>IF(W57&gt;='Request #1'!AA57,"OK","Alert, Explain")</f>
        <v>OK</v>
      </c>
      <c r="AC57" s="40"/>
      <c r="AD57" s="39"/>
      <c r="AE57" s="39"/>
      <c r="AF57" s="39"/>
      <c r="AG57" s="39"/>
    </row>
    <row r="58" spans="1:33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#1'!V58,"OK","Send in Change Order")</f>
        <v>OK</v>
      </c>
      <c r="S58" s="85">
        <v>47</v>
      </c>
      <c r="T58" s="86" t="str">
        <f>'Request #1'!T58</f>
        <v>Other Fees</v>
      </c>
      <c r="U58" s="216">
        <f>'Request #1'!U58</f>
        <v>0</v>
      </c>
      <c r="V58" s="87">
        <f>'Request #1'!V58</f>
        <v>0</v>
      </c>
      <c r="W58" s="88">
        <f>SUMIF(F7:F79,47,E7:E79)</f>
        <v>0</v>
      </c>
      <c r="X58" s="88">
        <f>'Request #1'!Y58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89" t="str">
        <f>IF(W58&gt;='Request #1'!AA58,"OK","Alert, Explain")</f>
        <v>OK</v>
      </c>
    </row>
    <row r="59" spans="1:33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#1'!V59,"OK","Send in Change Order")</f>
        <v>OK</v>
      </c>
      <c r="S59" s="85">
        <v>48</v>
      </c>
      <c r="T59" s="86" t="str">
        <f>'Request #1'!T59</f>
        <v>Other Fees</v>
      </c>
      <c r="U59" s="216">
        <f>'Request #1'!U59</f>
        <v>0</v>
      </c>
      <c r="V59" s="87">
        <f>'Request #1'!V59</f>
        <v>0</v>
      </c>
      <c r="W59" s="88">
        <f>SUMIF(F7:F79,48,E7:E79)</f>
        <v>0</v>
      </c>
      <c r="X59" s="88">
        <f>'Request #1'!Y59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89" t="str">
        <f>IF(W59&gt;='Request #1'!AA59,"OK","Alert, Explain")</f>
        <v>OK</v>
      </c>
    </row>
    <row r="60" spans="1:33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#1'!V60,"OK","Send in Change Order")</f>
        <v>OK</v>
      </c>
      <c r="S60" s="85">
        <v>49</v>
      </c>
      <c r="T60" s="86" t="str">
        <f>'Request #1'!T60</f>
        <v>Other Fees</v>
      </c>
      <c r="U60" s="216">
        <f>'Request #1'!U60</f>
        <v>0</v>
      </c>
      <c r="V60" s="87">
        <f>'Request #1'!V60</f>
        <v>0</v>
      </c>
      <c r="W60" s="88">
        <f>SUMIF(F7:F79,49,E7:E79)</f>
        <v>0</v>
      </c>
      <c r="X60" s="88">
        <f>'Request #1'!Y60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89" t="str">
        <f>IF(W60&gt;='Request #1'!AA60,"OK","Alert, Explain")</f>
        <v>OK</v>
      </c>
    </row>
    <row r="61" spans="1:33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#1'!V61,"OK","Send in Change Order")</f>
        <v>OK</v>
      </c>
      <c r="S61" s="85">
        <v>50</v>
      </c>
      <c r="T61" s="86" t="str">
        <f>'Request #1'!T61</f>
        <v>Other Fees</v>
      </c>
      <c r="U61" s="216">
        <f>'Request #1'!U61</f>
        <v>0</v>
      </c>
      <c r="V61" s="87">
        <f>'Request #1'!V61</f>
        <v>0</v>
      </c>
      <c r="W61" s="88">
        <f>SUMIF(F7:F79,50,E7:E79)</f>
        <v>0</v>
      </c>
      <c r="X61" s="88">
        <f>'Request #1'!Y61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89" t="str">
        <f>IF(W61&gt;='Request #1'!AA61,"OK","Alert, Explain")</f>
        <v>OK</v>
      </c>
    </row>
    <row r="62" spans="1:33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#1'!V62,"OK","Send in Change Order")</f>
        <v>OK</v>
      </c>
      <c r="S62" s="85">
        <v>51</v>
      </c>
      <c r="T62" s="86" t="str">
        <f>'Request #1'!T62</f>
        <v>Other Fees</v>
      </c>
      <c r="U62" s="216">
        <f>'Request #1'!U62</f>
        <v>0</v>
      </c>
      <c r="V62" s="87">
        <f>'Request #1'!V62</f>
        <v>0</v>
      </c>
      <c r="W62" s="88">
        <f>SUMIF(F7:F79,51,E7:E79)</f>
        <v>0</v>
      </c>
      <c r="X62" s="88">
        <f>'Request #1'!Y62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89" t="str">
        <f>IF(W62&gt;='Request #1'!AA62,"OK","Alert, Explain")</f>
        <v>OK</v>
      </c>
    </row>
    <row r="63" spans="1:33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#1'!V63,"OK","Send in Change Order")</f>
        <v>OK</v>
      </c>
      <c r="S63" s="85">
        <v>52</v>
      </c>
      <c r="T63" s="86" t="str">
        <f>'Request #1'!T63</f>
        <v>Worked Performed by Owner</v>
      </c>
      <c r="U63" s="216">
        <f>'Request #1'!U63</f>
        <v>0</v>
      </c>
      <c r="V63" s="87">
        <f>'Request #1'!V63</f>
        <v>0</v>
      </c>
      <c r="W63" s="88">
        <f>SUMIF(F7:F79,52,E7:E79)</f>
        <v>0</v>
      </c>
      <c r="X63" s="88">
        <f>'Request #1'!Y63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89" t="str">
        <f>IF(W63&gt;='Request #1'!AA63,"OK","Alert, Explain")</f>
        <v>OK</v>
      </c>
    </row>
    <row r="64" spans="1:33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#1'!V64,"OK","Send in Change Order")</f>
        <v>OK</v>
      </c>
      <c r="S64" s="85">
        <v>53</v>
      </c>
      <c r="T64" s="86" t="str">
        <f>'Request #1'!T64</f>
        <v>Equipment (Major)</v>
      </c>
      <c r="U64" s="216">
        <f>'Request #1'!U64</f>
        <v>0</v>
      </c>
      <c r="V64" s="87">
        <f>'Request #1'!V64</f>
        <v>0</v>
      </c>
      <c r="W64" s="88">
        <f>SUMIF(F7:F79,53,E7:E79)</f>
        <v>0</v>
      </c>
      <c r="X64" s="88">
        <f>'Request #1'!Y64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89" t="str">
        <f>IF(W64&gt;='Request #1'!AA64,"OK","Alert,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#1'!V65,"OK","Send in Change Order")</f>
        <v>OK</v>
      </c>
      <c r="S65" s="85">
        <v>54</v>
      </c>
      <c r="T65" s="165" t="s">
        <v>90</v>
      </c>
      <c r="U65" s="217"/>
      <c r="V65" s="87">
        <f>'Request #1'!V65</f>
        <v>0</v>
      </c>
      <c r="W65" s="104"/>
      <c r="X65" s="88">
        <f>'Request #1'!Y65</f>
        <v>0</v>
      </c>
      <c r="Y65" s="88">
        <f t="shared" si="2"/>
        <v>0</v>
      </c>
      <c r="Z65" s="88">
        <f t="shared" si="3"/>
        <v>0</v>
      </c>
      <c r="AA65" s="104"/>
      <c r="AB65" s="89" t="str">
        <f>IF(W65&gt;='Request #1'!AA65,"OK","Alert,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#1'!V66,"OK","Send in Change Order")</f>
        <v>OK</v>
      </c>
      <c r="S66" s="85">
        <v>55</v>
      </c>
      <c r="T66" s="86"/>
      <c r="U66" s="216">
        <f>'Request #1'!U66</f>
        <v>0</v>
      </c>
      <c r="V66" s="87">
        <f>'Request #1'!V66</f>
        <v>0</v>
      </c>
      <c r="W66" s="88">
        <f>SUMIF(F7:F79,55,E7:E79)</f>
        <v>0</v>
      </c>
      <c r="X66" s="88">
        <f>'Request #1'!Y66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89" t="str">
        <f>IF(W66&gt;='Request #1'!AA66,"OK","Alert,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#1'!V67,"OK","Send in Change Order")</f>
        <v>OK</v>
      </c>
      <c r="S67" s="85">
        <v>56</v>
      </c>
      <c r="T67" s="79"/>
      <c r="U67" s="216">
        <f>'Request #1'!U67</f>
        <v>0</v>
      </c>
      <c r="V67" s="87">
        <f>'Request #1'!V67</f>
        <v>0</v>
      </c>
      <c r="W67" s="88">
        <f>SUMIF(F7:F79,56,E7:E79)</f>
        <v>0</v>
      </c>
      <c r="X67" s="88">
        <f>'Request #1'!Y67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89" t="str">
        <f>IF(W67&gt;='Request #1'!AA67,"OK","Alert,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#1'!V68,"OK","Send in Change Order")</f>
        <v>OK</v>
      </c>
      <c r="S68" s="316" t="s">
        <v>60</v>
      </c>
      <c r="T68" s="317"/>
      <c r="U68" s="166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89" t="str">
        <f>IF(W68&gt;='Request #1'!AA68,"OK","Alert,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09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167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10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11" t="e">
        <f>V72/V68</f>
        <v>#DIV/0!</v>
      </c>
      <c r="V72" s="88">
        <f>V68-V74-V73</f>
        <v>0</v>
      </c>
      <c r="W72" s="87">
        <v>0</v>
      </c>
      <c r="X72" s="88">
        <f>'Request #1'!Y72</f>
        <v>0</v>
      </c>
      <c r="Y72" s="168">
        <f t="shared" ref="Y72:Y73" si="8">W72+X72</f>
        <v>0</v>
      </c>
      <c r="Z72" s="16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#1'!V73,"OK","Send in Change Order")</f>
        <v>OK</v>
      </c>
      <c r="S73" s="86" t="s">
        <v>95</v>
      </c>
      <c r="T73" s="114"/>
      <c r="U73" s="211" t="e">
        <f>V73/V68</f>
        <v>#DIV/0!</v>
      </c>
      <c r="V73" s="87">
        <f>'Request #1'!V73</f>
        <v>0</v>
      </c>
      <c r="W73" s="87">
        <v>0</v>
      </c>
      <c r="X73" s="88">
        <f>'Request #1'!Y73</f>
        <v>0</v>
      </c>
      <c r="Y73" s="168">
        <f t="shared" si="8"/>
        <v>0</v>
      </c>
      <c r="Z73" s="16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#1'!V74,"OK","Send in Change Order")</f>
        <v>OK</v>
      </c>
      <c r="S74" s="120" t="s">
        <v>96</v>
      </c>
      <c r="T74" s="121"/>
      <c r="U74" s="211" t="e">
        <f>V74/V68</f>
        <v>#DIV/0!</v>
      </c>
      <c r="V74" s="87">
        <f>'Request #1'!V74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77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12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13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13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14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SUM(E45:E79)</f>
        <v>0</v>
      </c>
      <c r="F80" s="158"/>
      <c r="G80" s="192"/>
      <c r="K80" s="160" t="s">
        <v>107</v>
      </c>
      <c r="L80" s="161"/>
      <c r="M80" s="162"/>
      <c r="N80" s="161"/>
      <c r="O80" s="163">
        <f>SUM(O45:O79)</f>
        <v>0</v>
      </c>
      <c r="P80" s="158"/>
      <c r="S80" s="137"/>
      <c r="T80" s="55"/>
      <c r="U80" s="77"/>
      <c r="V80" s="55"/>
      <c r="W80" s="55"/>
      <c r="X80" s="138"/>
      <c r="Y80" s="45" t="s">
        <v>108</v>
      </c>
      <c r="Z80" s="43"/>
      <c r="AA80" s="88">
        <f>'Request #1'!AA79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2</v>
      </c>
      <c r="V87" s="55"/>
      <c r="W87" s="55"/>
      <c r="X87" s="138"/>
      <c r="Y87" s="45" t="s">
        <v>108</v>
      </c>
      <c r="Z87" s="43"/>
      <c r="AA87" s="88">
        <f>'Request #1'!AA86</f>
        <v>0</v>
      </c>
      <c r="AB87" s="110"/>
    </row>
    <row r="88" spans="1:28" ht="30" customHeight="1" thickBot="1" x14ac:dyDescent="0.35">
      <c r="S88" s="55"/>
      <c r="T88" s="55"/>
      <c r="U88" s="77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77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77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77"/>
      <c r="V91" s="55"/>
      <c r="W91" s="55"/>
      <c r="X91" s="55"/>
    </row>
    <row r="92" spans="1:28" ht="30" customHeight="1" x14ac:dyDescent="0.3">
      <c r="S92" s="55"/>
      <c r="T92" s="55"/>
      <c r="U92" s="77"/>
      <c r="V92" s="55"/>
      <c r="W92" s="55"/>
      <c r="X92" s="55"/>
    </row>
    <row r="93" spans="1:28" ht="30" customHeight="1" x14ac:dyDescent="0.3">
      <c r="S93" s="55"/>
      <c r="T93" s="55"/>
      <c r="U93" s="77"/>
      <c r="V93" s="55"/>
      <c r="W93" s="55"/>
      <c r="X93" s="55"/>
    </row>
    <row r="94" spans="1:28" ht="30" customHeight="1" x14ac:dyDescent="0.3">
      <c r="S94" s="55"/>
      <c r="T94" s="55"/>
      <c r="U94" s="77"/>
      <c r="V94" s="55"/>
      <c r="W94" s="55"/>
      <c r="X94" s="55"/>
    </row>
    <row r="95" spans="1:28" ht="30" customHeight="1" x14ac:dyDescent="0.3">
      <c r="S95" s="55"/>
      <c r="T95" s="55"/>
      <c r="U95" s="77"/>
      <c r="V95" s="55"/>
      <c r="W95" s="55"/>
      <c r="X95" s="55"/>
    </row>
    <row r="96" spans="1:28" ht="30" customHeight="1" x14ac:dyDescent="0.3">
      <c r="S96" s="55"/>
      <c r="T96" s="55"/>
      <c r="U96" s="77"/>
      <c r="V96" s="55"/>
      <c r="W96" s="55"/>
      <c r="X96" s="55"/>
    </row>
    <row r="97" spans="15:24" ht="30" customHeight="1" x14ac:dyDescent="0.3">
      <c r="S97" s="55"/>
      <c r="T97" s="55"/>
      <c r="U97" s="77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pge4YB4SDoK7HwJZ59odf62bUAdWYN0VbHkWx04M9MNkz4r4bFh43z+TAbc1bA94o6xjoXxWWC2YMd7THmx28w==" saltValue="xYHzZ7fF1us7BP/6YYVmPg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phoneticPr fontId="0" type="noConversion"/>
  <conditionalFormatting sqref="R1:R1048576">
    <cfRule type="cellIs" dxfId="422" priority="8" operator="equal">
      <formula>"Send in Change Order"</formula>
    </cfRule>
  </conditionalFormatting>
  <conditionalFormatting sqref="W68">
    <cfRule type="cellIs" dxfId="421" priority="2" operator="notEqual">
      <formula>$E$82</formula>
    </cfRule>
    <cfRule type="cellIs" dxfId="420" priority="3" operator="greaterThan">
      <formula>$E$82</formula>
    </cfRule>
    <cfRule type="cellIs" dxfId="419" priority="4" operator="notEqual">
      <formula>$E$82</formula>
    </cfRule>
  </conditionalFormatting>
  <conditionalFormatting sqref="Z12:Z44">
    <cfRule type="cellIs" dxfId="418" priority="6" operator="lessThan">
      <formula>0</formula>
    </cfRule>
  </conditionalFormatting>
  <conditionalFormatting sqref="Z49:Z68">
    <cfRule type="cellIs" dxfId="417" priority="5" operator="lessThan">
      <formula>0</formula>
    </cfRule>
  </conditionalFormatting>
  <conditionalFormatting sqref="AA68">
    <cfRule type="cellIs" dxfId="416" priority="1" operator="notEqual">
      <formula>$O$82</formula>
    </cfRule>
  </conditionalFormatting>
  <conditionalFormatting sqref="AB1:AB1048576">
    <cfRule type="containsText" dxfId="415" priority="7" operator="containsText" text="Alert">
      <formula>NOT(ISERROR(SEARCH("Alert",AB1)))</formula>
    </cfRule>
  </conditionalFormatting>
  <printOptions horizontalCentered="1"/>
  <pageMargins left="0.5" right="0.5" top="1.1499999999999999" bottom="0.5" header="0.63" footer="0.5"/>
  <pageSetup scale="46" orientation="portrait" r:id="rId1"/>
  <headerFooter alignWithMargins="0">
    <oddHeader xml:space="preserve">&amp;R&amp;"Times New Roman,Bold"
</oddHeader>
    <oddFooter>&amp;RNCCCS 2-17, Column 5</oddFooter>
  </headerFooter>
  <rowBreaks count="1" manualBreakCount="1">
    <brk id="44" max="28" man="1"/>
  </rowBreaks>
  <colBreaks count="11" manualBreakCount="11">
    <brk id="6" max="88" man="1"/>
    <brk id="10" max="1048575" man="1"/>
    <brk id="16" max="1048575" man="1"/>
    <brk id="18" max="88" man="1"/>
    <brk id="27" max="88" man="1"/>
    <brk id="29" max="1048575" man="1"/>
    <brk id="52" max="1048575" man="1"/>
    <brk id="99" max="89" man="1"/>
    <brk id="101" max="1048575" man="1"/>
    <brk id="110" max="89" man="1"/>
    <brk id="111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664062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44140625" style="50" customWidth="1"/>
    <col min="19" max="19" width="6.6640625" style="39" customWidth="1"/>
    <col min="20" max="20" width="30.33203125" style="39" customWidth="1"/>
    <col min="21" max="21" width="17.77734375" style="219" customWidth="1"/>
    <col min="22" max="27" width="18.88671875" style="39" customWidth="1"/>
    <col min="28" max="28" width="23.3320312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220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29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220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220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221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22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23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29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218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#28'!V12,"OK","Send in Change Order")</f>
        <v>OK</v>
      </c>
      <c r="S12" s="85">
        <v>1</v>
      </c>
      <c r="T12" s="86" t="str">
        <f>'Request #28'!T12</f>
        <v>Land/Site Grading &amp; Improv.</v>
      </c>
      <c r="U12" s="218">
        <f>'Request #28'!U12</f>
        <v>0</v>
      </c>
      <c r="V12" s="87">
        <f>'Request #28'!V12</f>
        <v>0</v>
      </c>
      <c r="W12" s="88">
        <f>SUMIF(F7:F79,1,E7:E79)</f>
        <v>0</v>
      </c>
      <c r="X12" s="88">
        <f>'Request #28'!Y12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#28'!AA12,"OK","Alert,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#28'!V13,"OK","Send in Change Order")</f>
        <v>OK</v>
      </c>
      <c r="S13" s="85">
        <v>2</v>
      </c>
      <c r="T13" s="86" t="str">
        <f>'Request #28'!T13</f>
        <v xml:space="preserve">General Contract </v>
      </c>
      <c r="U13" s="218">
        <f>'Request #28'!U13</f>
        <v>0</v>
      </c>
      <c r="V13" s="87">
        <f>'Request #28'!V13</f>
        <v>0</v>
      </c>
      <c r="W13" s="88">
        <f>SUMIF(F7:F79,2,E7:E79)</f>
        <v>0</v>
      </c>
      <c r="X13" s="88">
        <f>'Request #28'!Y13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#28'!AA13,"OK","Alert,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#28'!V14,"OK","Send in Change Order")</f>
        <v>OK</v>
      </c>
      <c r="S14" s="85">
        <v>3</v>
      </c>
      <c r="T14" s="86" t="str">
        <f>'Request #28'!T14</f>
        <v>Designer Contract</v>
      </c>
      <c r="U14" s="218">
        <f>'Request #28'!U14</f>
        <v>0</v>
      </c>
      <c r="V14" s="87">
        <f>'Request #28'!V14</f>
        <v>0</v>
      </c>
      <c r="W14" s="88">
        <f>SUMIF(F7:F79,3,E7:E79)</f>
        <v>0</v>
      </c>
      <c r="X14" s="88">
        <f>'Request #28'!Y14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#28'!AA14,"OK","Alert,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#28'!V15,"OK","Send in Change Order")</f>
        <v>OK</v>
      </c>
      <c r="S15" s="85">
        <v>4</v>
      </c>
      <c r="T15" s="86" t="str">
        <f>'Request #28'!T15</f>
        <v>Designer Reimbursables</v>
      </c>
      <c r="U15" s="218">
        <f>'Request #28'!U15</f>
        <v>0</v>
      </c>
      <c r="V15" s="87">
        <f>'Request #28'!V15</f>
        <v>0</v>
      </c>
      <c r="W15" s="88">
        <f>SUMIF(F7:F79,4,E7:E79)</f>
        <v>0</v>
      </c>
      <c r="X15" s="88">
        <f>'Request #28'!Y15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#28'!AA15,"OK","Alert,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#28'!V16,"OK","Send in Change Order")</f>
        <v>OK</v>
      </c>
      <c r="S16" s="85">
        <v>5</v>
      </c>
      <c r="T16" s="86" t="str">
        <f>'Request #28'!T16</f>
        <v>Other Contracts</v>
      </c>
      <c r="U16" s="218">
        <f>'Request #28'!U16</f>
        <v>0</v>
      </c>
      <c r="V16" s="87">
        <f>'Request #28'!V16</f>
        <v>0</v>
      </c>
      <c r="W16" s="88">
        <f>SUMIF(F7:F79,5,E7:E79)</f>
        <v>0</v>
      </c>
      <c r="X16" s="88">
        <f>'Request #28'!Y16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#28'!AA16,"OK","Alert,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#28'!V17,"OK","Send in Change Order")</f>
        <v>OK</v>
      </c>
      <c r="S17" s="85">
        <v>6</v>
      </c>
      <c r="T17" s="86" t="str">
        <f>'Request #28'!T17</f>
        <v>Other Contracts</v>
      </c>
      <c r="U17" s="218">
        <f>'Request #28'!U17</f>
        <v>0</v>
      </c>
      <c r="V17" s="87">
        <f>'Request #28'!V17</f>
        <v>0</v>
      </c>
      <c r="W17" s="88">
        <f>SUMIF(F7:F79,6,E7:E79)</f>
        <v>0</v>
      </c>
      <c r="X17" s="88">
        <f>'Request #28'!Y17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#28'!AA17,"OK","Alert,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#28'!V18,"OK","Send in Change Order")</f>
        <v>OK</v>
      </c>
      <c r="S18" s="85">
        <v>7</v>
      </c>
      <c r="T18" s="86" t="str">
        <f>'Request #28'!T18</f>
        <v>Other Contracts</v>
      </c>
      <c r="U18" s="218">
        <f>'Request #28'!U18</f>
        <v>0</v>
      </c>
      <c r="V18" s="87">
        <f>'Request #28'!V18</f>
        <v>0</v>
      </c>
      <c r="W18" s="88">
        <f>SUMIF(F7:F79,7,E7:E79)</f>
        <v>0</v>
      </c>
      <c r="X18" s="88">
        <f>'Request #28'!Y18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#28'!AA18,"OK","Alert,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#28'!V19,"OK","Send in Change Order")</f>
        <v>OK</v>
      </c>
      <c r="S19" s="85">
        <v>8</v>
      </c>
      <c r="T19" s="86" t="str">
        <f>'Request #28'!T19</f>
        <v>Other Contracts</v>
      </c>
      <c r="U19" s="218">
        <f>'Request #28'!U19</f>
        <v>0</v>
      </c>
      <c r="V19" s="87">
        <f>'Request #28'!V19</f>
        <v>0</v>
      </c>
      <c r="W19" s="88">
        <f>SUMIF(F7:F79,8,E7:E79)</f>
        <v>0</v>
      </c>
      <c r="X19" s="88">
        <f>'Request #28'!Y19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#28'!AA19,"OK","Alert,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#28'!V20,"OK","Send in Change Order")</f>
        <v>OK</v>
      </c>
      <c r="S20" s="85">
        <v>9</v>
      </c>
      <c r="T20" s="86" t="str">
        <f>'Request #28'!T20</f>
        <v>Other Contracts</v>
      </c>
      <c r="U20" s="218">
        <f>'Request #28'!U20</f>
        <v>0</v>
      </c>
      <c r="V20" s="87">
        <f>'Request #28'!V20</f>
        <v>0</v>
      </c>
      <c r="W20" s="88">
        <f>SUMIF(F7:F79,9,E7:E79)</f>
        <v>0</v>
      </c>
      <c r="X20" s="88">
        <f>'Request #28'!Y20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#28'!AA20,"OK","Alert,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#28'!V21,"OK","Send in Change Order")</f>
        <v>OK</v>
      </c>
      <c r="S21" s="85">
        <v>10</v>
      </c>
      <c r="T21" s="86" t="str">
        <f>'Request #28'!T21</f>
        <v>Other Contracts</v>
      </c>
      <c r="U21" s="218">
        <f>'Request #28'!U21</f>
        <v>0</v>
      </c>
      <c r="V21" s="87">
        <f>'Request #28'!V21</f>
        <v>0</v>
      </c>
      <c r="W21" s="88">
        <f>SUMIF(F7:F79,10,E7:E79)</f>
        <v>0</v>
      </c>
      <c r="X21" s="88">
        <f>'Request #28'!Y21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#28'!AA21,"OK","Alert,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#28'!V22,"OK","Send in Change Order")</f>
        <v>OK</v>
      </c>
      <c r="S22" s="85">
        <v>11</v>
      </c>
      <c r="T22" s="86" t="str">
        <f>'Request #28'!T22</f>
        <v>Other Contracts</v>
      </c>
      <c r="U22" s="218">
        <f>'Request #28'!U22</f>
        <v>0</v>
      </c>
      <c r="V22" s="87">
        <f>'Request #28'!V22</f>
        <v>0</v>
      </c>
      <c r="W22" s="88">
        <f>SUMIF(F7:F79,11,E7:E79)</f>
        <v>0</v>
      </c>
      <c r="X22" s="88">
        <f>'Request #28'!Y22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#28'!AA22,"OK","Alert,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#28'!V23,"OK","Send in Change Order")</f>
        <v>OK</v>
      </c>
      <c r="S23" s="85">
        <v>12</v>
      </c>
      <c r="T23" s="86" t="str">
        <f>'Request #28'!T23</f>
        <v>Other Contracts</v>
      </c>
      <c r="U23" s="218">
        <f>'Request #28'!U23</f>
        <v>0</v>
      </c>
      <c r="V23" s="87">
        <f>'Request #28'!V23</f>
        <v>0</v>
      </c>
      <c r="W23" s="88">
        <f>SUMIF(F7:F79,12,E7:E79)</f>
        <v>0</v>
      </c>
      <c r="X23" s="88">
        <f>'Request #28'!Y23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#28'!AA23,"OK","Alert,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#28'!V24,"OK","Send in Change Order")</f>
        <v>OK</v>
      </c>
      <c r="S24" s="85">
        <v>13</v>
      </c>
      <c r="T24" s="86" t="str">
        <f>'Request #28'!T24</f>
        <v>Other Contracts</v>
      </c>
      <c r="U24" s="218">
        <f>'Request #28'!U24</f>
        <v>0</v>
      </c>
      <c r="V24" s="87">
        <f>'Request #28'!V24</f>
        <v>0</v>
      </c>
      <c r="W24" s="88">
        <f>SUMIF(F7:F79,13,E7:E79)</f>
        <v>0</v>
      </c>
      <c r="X24" s="88">
        <f>'Request #28'!Y24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#28'!AA24,"OK","Alert,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#28'!V25,"OK","Send in Change Order")</f>
        <v>OK</v>
      </c>
      <c r="S25" s="85">
        <v>14</v>
      </c>
      <c r="T25" s="86" t="str">
        <f>'Request #28'!T25</f>
        <v>Other Contracts</v>
      </c>
      <c r="U25" s="218">
        <f>'Request #28'!U25</f>
        <v>0</v>
      </c>
      <c r="V25" s="87">
        <f>'Request #28'!V25</f>
        <v>0</v>
      </c>
      <c r="W25" s="88">
        <f>SUMIF(F7:F79,14,E7:E79)</f>
        <v>0</v>
      </c>
      <c r="X25" s="88">
        <f>'Request #28'!Y25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#28'!AA25,"OK","Alert,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#28'!V26,"OK","Send in Change Order")</f>
        <v>OK</v>
      </c>
      <c r="S26" s="85">
        <v>15</v>
      </c>
      <c r="T26" s="86" t="str">
        <f>'Request #28'!T26</f>
        <v>Other Contracts</v>
      </c>
      <c r="U26" s="218">
        <f>'Request #28'!U26</f>
        <v>0</v>
      </c>
      <c r="V26" s="87">
        <f>'Request #28'!V26</f>
        <v>0</v>
      </c>
      <c r="W26" s="88">
        <f>SUMIF(F7:F79,15,E7:E79)</f>
        <v>0</v>
      </c>
      <c r="X26" s="88">
        <f>'Request #28'!Y26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#28'!AA26,"OK","Alert,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#28'!V27,"OK","Send in Change Order")</f>
        <v>OK</v>
      </c>
      <c r="S27" s="85">
        <v>16</v>
      </c>
      <c r="T27" s="86" t="str">
        <f>'Request #28'!T27</f>
        <v>Other Contracts</v>
      </c>
      <c r="U27" s="218">
        <f>'Request #28'!U27</f>
        <v>0</v>
      </c>
      <c r="V27" s="87">
        <f>'Request #28'!V27</f>
        <v>0</v>
      </c>
      <c r="W27" s="88">
        <f>SUMIF(F7:F79,16,E7:E79)</f>
        <v>0</v>
      </c>
      <c r="X27" s="88">
        <f>'Request #28'!Y27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#28'!AA27,"OK","Alert,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#28'!V28,"OK","Send in Change Order")</f>
        <v>OK</v>
      </c>
      <c r="S28" s="85">
        <v>17</v>
      </c>
      <c r="T28" s="86" t="str">
        <f>'Request #28'!T28</f>
        <v>Other Contracts</v>
      </c>
      <c r="U28" s="218">
        <f>'Request #28'!U28</f>
        <v>0</v>
      </c>
      <c r="V28" s="87">
        <f>'Request #28'!V28</f>
        <v>0</v>
      </c>
      <c r="W28" s="88">
        <f>SUMIF(F7:F79,17,E7:E79)</f>
        <v>0</v>
      </c>
      <c r="X28" s="88">
        <f>'Request #28'!Y28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#28'!AA28,"OK","Alert,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#28'!V29,"OK","Send in Change Order")</f>
        <v>OK</v>
      </c>
      <c r="S29" s="85">
        <v>18</v>
      </c>
      <c r="T29" s="86" t="str">
        <f>'Request #28'!T29</f>
        <v>Other Contracts</v>
      </c>
      <c r="U29" s="218">
        <f>'Request #28'!U29</f>
        <v>0</v>
      </c>
      <c r="V29" s="87">
        <f>'Request #28'!V29</f>
        <v>0</v>
      </c>
      <c r="W29" s="88">
        <f>SUMIF(F7:F79,18,E7:E79)</f>
        <v>0</v>
      </c>
      <c r="X29" s="88">
        <f>'Request #28'!Y29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#28'!AA29,"OK","Alert,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#28'!V30,"OK","Send in Change Order")</f>
        <v>OK</v>
      </c>
      <c r="S30" s="85">
        <v>19</v>
      </c>
      <c r="T30" s="86" t="str">
        <f>'Request #28'!T30</f>
        <v>Other Contracts</v>
      </c>
      <c r="U30" s="218">
        <f>'Request #28'!U30</f>
        <v>0</v>
      </c>
      <c r="V30" s="87">
        <f>'Request #28'!V30</f>
        <v>0</v>
      </c>
      <c r="W30" s="88">
        <f>SUMIF(F7:F79,19,E7:E79)</f>
        <v>0</v>
      </c>
      <c r="X30" s="88">
        <f>'Request #28'!Y30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#28'!AA30,"OK","Alert,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#28'!V31,"OK","Send in Change Order")</f>
        <v>OK</v>
      </c>
      <c r="S31" s="85">
        <v>20</v>
      </c>
      <c r="T31" s="86" t="str">
        <f>'Request #28'!T31</f>
        <v>Other Contracts</v>
      </c>
      <c r="U31" s="218">
        <f>'Request #28'!U31</f>
        <v>0</v>
      </c>
      <c r="V31" s="87">
        <f>'Request #28'!V31</f>
        <v>0</v>
      </c>
      <c r="W31" s="88">
        <f>SUMIF(F7:F79,20,E7:E79)</f>
        <v>0</v>
      </c>
      <c r="X31" s="88">
        <f>'Request #28'!Y31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#28'!AA31,"OK","Alert,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#28'!V32,"OK","Send in Change Order")</f>
        <v>OK</v>
      </c>
      <c r="S32" s="85">
        <v>21</v>
      </c>
      <c r="T32" s="86" t="str">
        <f>'Request #28'!T32</f>
        <v>Other Contracts</v>
      </c>
      <c r="U32" s="218">
        <f>'Request #28'!U32</f>
        <v>0</v>
      </c>
      <c r="V32" s="87">
        <f>'Request #28'!V32</f>
        <v>0</v>
      </c>
      <c r="W32" s="88">
        <f>SUMIF(F7:F79,21,E7:E79)</f>
        <v>0</v>
      </c>
      <c r="X32" s="88">
        <f>'Request #28'!Y32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#28'!AA32,"OK","Alert,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#28'!V33,"OK","Send in Change Order")</f>
        <v>OK</v>
      </c>
      <c r="S33" s="85">
        <v>22</v>
      </c>
      <c r="T33" s="86" t="str">
        <f>'Request #28'!T33</f>
        <v>Other Contracts</v>
      </c>
      <c r="U33" s="218">
        <f>'Request #28'!U33</f>
        <v>0</v>
      </c>
      <c r="V33" s="87">
        <f>'Request #28'!V33</f>
        <v>0</v>
      </c>
      <c r="W33" s="88">
        <f>SUMIF(F7:F79,22,E7:E79)</f>
        <v>0</v>
      </c>
      <c r="X33" s="88">
        <f>'Request #28'!Y33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#28'!AA33,"OK","Alert,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#28'!V34,"OK","Send in Change Order")</f>
        <v>OK</v>
      </c>
      <c r="S34" s="85">
        <v>23</v>
      </c>
      <c r="T34" s="86" t="str">
        <f>'Request #28'!T34</f>
        <v>Other Contracts</v>
      </c>
      <c r="U34" s="218">
        <f>'Request #28'!U34</f>
        <v>0</v>
      </c>
      <c r="V34" s="87">
        <f>'Request #28'!V34</f>
        <v>0</v>
      </c>
      <c r="W34" s="88">
        <f>SUMIF(F7:F79,23,E7:E79)</f>
        <v>0</v>
      </c>
      <c r="X34" s="88">
        <f>'Request #28'!Y34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#28'!AA34,"OK","Alert,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#28'!V35,"OK","Send in Change Order")</f>
        <v>OK</v>
      </c>
      <c r="S35" s="85">
        <v>24</v>
      </c>
      <c r="T35" s="86" t="str">
        <f>'Request #28'!T35</f>
        <v>Other Contracts</v>
      </c>
      <c r="U35" s="218">
        <f>'Request #28'!U35</f>
        <v>0</v>
      </c>
      <c r="V35" s="87">
        <f>'Request #28'!V35</f>
        <v>0</v>
      </c>
      <c r="W35" s="88">
        <f>SUMIF(F7:F79,24,E7:E79)</f>
        <v>0</v>
      </c>
      <c r="X35" s="88">
        <f>'Request #28'!Y35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#28'!AA35,"OK","Alert,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#28'!V36,"OK","Send in Change Order")</f>
        <v>OK</v>
      </c>
      <c r="S36" s="85">
        <v>25</v>
      </c>
      <c r="T36" s="86" t="str">
        <f>'Request #28'!T36</f>
        <v>Other Contracts</v>
      </c>
      <c r="U36" s="218">
        <f>'Request #28'!U36</f>
        <v>0</v>
      </c>
      <c r="V36" s="87">
        <f>'Request #28'!V36</f>
        <v>0</v>
      </c>
      <c r="W36" s="88">
        <f>SUMIF(F7:F79,25,E7:E79)</f>
        <v>0</v>
      </c>
      <c r="X36" s="88">
        <f>'Request #28'!Y36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#28'!AA36,"OK","Alert,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#28'!V37,"OK","Send in Change Order")</f>
        <v>OK</v>
      </c>
      <c r="S37" s="85">
        <v>26</v>
      </c>
      <c r="T37" s="86" t="str">
        <f>'Request #28'!T37</f>
        <v>Other Fees</v>
      </c>
      <c r="U37" s="218">
        <f>'Request #28'!U37</f>
        <v>0</v>
      </c>
      <c r="V37" s="87">
        <f>'Request #28'!V37</f>
        <v>0</v>
      </c>
      <c r="W37" s="88">
        <f>SUMIF(F7:F79,26,E7:E79)</f>
        <v>0</v>
      </c>
      <c r="X37" s="88">
        <f>'Request #28'!Y37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#28'!AA37,"OK","Alert,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#28'!V38,"OK","Send in Change Order")</f>
        <v>OK</v>
      </c>
      <c r="S38" s="85">
        <v>27</v>
      </c>
      <c r="T38" s="86" t="str">
        <f>'Request #28'!T38</f>
        <v>Other Fees</v>
      </c>
      <c r="U38" s="218">
        <f>'Request #28'!U38</f>
        <v>0</v>
      </c>
      <c r="V38" s="87">
        <f>'Request #28'!V38</f>
        <v>0</v>
      </c>
      <c r="W38" s="88">
        <f>SUMIF(F7:F79,27,E7:E79)</f>
        <v>0</v>
      </c>
      <c r="X38" s="88">
        <f>'Request #28'!Y38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#28'!AA38,"OK","Alert,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#28'!V39,"OK","Send in Change Order")</f>
        <v>OK</v>
      </c>
      <c r="S39" s="85">
        <v>28</v>
      </c>
      <c r="T39" s="86" t="str">
        <f>'Request #28'!T39</f>
        <v>Other Fees</v>
      </c>
      <c r="U39" s="218">
        <f>'Request #28'!U39</f>
        <v>0</v>
      </c>
      <c r="V39" s="87">
        <f>'Request #28'!V39</f>
        <v>0</v>
      </c>
      <c r="W39" s="88">
        <f>SUMIF(F7:F79,28,E7:E79)</f>
        <v>0</v>
      </c>
      <c r="X39" s="88">
        <f>'Request #28'!Y39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#28'!AA39,"OK","Alert,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#28'!V40,"OK","Send in Change Order")</f>
        <v>OK</v>
      </c>
      <c r="S40" s="85">
        <v>29</v>
      </c>
      <c r="T40" s="86" t="str">
        <f>'Request #28'!T40</f>
        <v>Other Fees</v>
      </c>
      <c r="U40" s="218">
        <f>'Request #28'!U40</f>
        <v>0</v>
      </c>
      <c r="V40" s="87">
        <f>'Request #28'!V40</f>
        <v>0</v>
      </c>
      <c r="W40" s="88">
        <f>SUMIF(F7:F79,29,E7:E79)</f>
        <v>0</v>
      </c>
      <c r="X40" s="88">
        <f>'Request #28'!Y40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#28'!AA40,"OK","Alert,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#28'!V41,"OK","Send in Change Order")</f>
        <v>OK</v>
      </c>
      <c r="S41" s="85">
        <v>30</v>
      </c>
      <c r="T41" s="86" t="str">
        <f>'Request #28'!T41</f>
        <v>Other Fees</v>
      </c>
      <c r="U41" s="218">
        <f>'Request #28'!U41</f>
        <v>0</v>
      </c>
      <c r="V41" s="87">
        <f>'Request #28'!V41</f>
        <v>0</v>
      </c>
      <c r="W41" s="88">
        <f>SUMIF(F7:F79,30,E7:E79)</f>
        <v>0</v>
      </c>
      <c r="X41" s="88">
        <f>'Request #28'!Y41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#28'!AA41,"OK","Alert,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#28'!V42,"OK","Send in Change Order")</f>
        <v>OK</v>
      </c>
      <c r="S42" s="85">
        <v>31</v>
      </c>
      <c r="T42" s="86" t="str">
        <f>'Request #28'!T42</f>
        <v>Other Fees</v>
      </c>
      <c r="U42" s="218">
        <f>'Request #28'!U42</f>
        <v>0</v>
      </c>
      <c r="V42" s="87">
        <f>'Request #28'!V42</f>
        <v>0</v>
      </c>
      <c r="W42" s="88">
        <f>SUMIF(F7:F79,31,E7:E79)</f>
        <v>0</v>
      </c>
      <c r="X42" s="88">
        <f>'Request #28'!Y42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#28'!AA42,"OK","Alert,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#28'!V43,"OK","Send in Change Order")</f>
        <v>OK</v>
      </c>
      <c r="S43" s="85">
        <v>32</v>
      </c>
      <c r="T43" s="86" t="str">
        <f>'Request #28'!T43</f>
        <v>Other Fees</v>
      </c>
      <c r="U43" s="218">
        <f>'Request #28'!U43</f>
        <v>0</v>
      </c>
      <c r="V43" s="87">
        <f>'Request #28'!V43</f>
        <v>0</v>
      </c>
      <c r="W43" s="88">
        <f>SUMIF(F7:F79,32,E7:E79)</f>
        <v>0</v>
      </c>
      <c r="X43" s="88">
        <f>'Request #28'!Y43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#28'!AA43,"OK","Alert,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#28'!V44,"OK","Send in Change Order")</f>
        <v>OK</v>
      </c>
      <c r="S44" s="85">
        <v>33</v>
      </c>
      <c r="T44" s="86" t="str">
        <f>'Request #28'!T44</f>
        <v>Other Fees</v>
      </c>
      <c r="U44" s="218">
        <f>'Request #28'!U44</f>
        <v>0</v>
      </c>
      <c r="V44" s="87">
        <f>'Request #28'!V44</f>
        <v>0</v>
      </c>
      <c r="W44" s="88">
        <f>SUMIF(F7:F79,33,E7:E79)</f>
        <v>0</v>
      </c>
      <c r="X44" s="88">
        <f>'Request #28'!Y44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#28'!AA44,"OK","Alert,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#28'!V49,"OK","Send in Change Order")</f>
        <v>OK</v>
      </c>
      <c r="S49" s="85">
        <v>38</v>
      </c>
      <c r="T49" s="86" t="str">
        <f>'Request #28'!T49</f>
        <v>Other Fees</v>
      </c>
      <c r="U49" s="218">
        <f>'Request #28'!U49</f>
        <v>0</v>
      </c>
      <c r="V49" s="87">
        <f>'Request #28'!V49</f>
        <v>0</v>
      </c>
      <c r="W49" s="88">
        <f>SUMIF(F7:F79,38,E7:E79)</f>
        <v>0</v>
      </c>
      <c r="X49" s="88">
        <f>'Request #28'!Y49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#28'!AA49,"OK","Alert,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#28'!V50,"OK","Send in Change Order")</f>
        <v>OK</v>
      </c>
      <c r="S50" s="85">
        <v>39</v>
      </c>
      <c r="T50" s="86" t="str">
        <f>'Request #28'!T50</f>
        <v>Other Fees</v>
      </c>
      <c r="U50" s="218">
        <f>'Request #28'!U50</f>
        <v>0</v>
      </c>
      <c r="V50" s="87">
        <f>'Request #28'!V50</f>
        <v>0</v>
      </c>
      <c r="W50" s="88">
        <f>SUMIF(F7:F79,39,E7:E79)</f>
        <v>0</v>
      </c>
      <c r="X50" s="88">
        <f>'Request #28'!Y50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#28'!AA50,"OK","Alert,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#28'!V51,"OK","Send in Change Order")</f>
        <v>OK</v>
      </c>
      <c r="S51" s="85">
        <v>40</v>
      </c>
      <c r="T51" s="86" t="str">
        <f>'Request #28'!T51</f>
        <v>Other Fees</v>
      </c>
      <c r="U51" s="218">
        <f>'Request #28'!U51</f>
        <v>0</v>
      </c>
      <c r="V51" s="87">
        <f>'Request #28'!V51</f>
        <v>0</v>
      </c>
      <c r="W51" s="88">
        <f>SUMIF(F7:F79,40,E7:E79)</f>
        <v>0</v>
      </c>
      <c r="X51" s="88">
        <f>'Request #28'!Y51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#28'!AA51,"OK","Alert,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#28'!V52,"OK","Send in Change Order")</f>
        <v>OK</v>
      </c>
      <c r="S52" s="85">
        <v>41</v>
      </c>
      <c r="T52" s="86" t="str">
        <f>'Request #28'!T52</f>
        <v>Other Fees</v>
      </c>
      <c r="U52" s="218">
        <f>'Request #28'!U52</f>
        <v>0</v>
      </c>
      <c r="V52" s="87">
        <f>'Request #28'!V52</f>
        <v>0</v>
      </c>
      <c r="W52" s="88">
        <f>SUMIF(F7:F79,41,E7:E79)</f>
        <v>0</v>
      </c>
      <c r="X52" s="88">
        <f>'Request #28'!Y52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#28'!AA52,"OK","Alert,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#28'!V53,"OK","Send in Change Order")</f>
        <v>OK</v>
      </c>
      <c r="S53" s="85">
        <v>42</v>
      </c>
      <c r="T53" s="86" t="str">
        <f>'Request #28'!T53</f>
        <v>Other Fees</v>
      </c>
      <c r="U53" s="218">
        <f>'Request #28'!U53</f>
        <v>0</v>
      </c>
      <c r="V53" s="87">
        <f>'Request #28'!V53</f>
        <v>0</v>
      </c>
      <c r="W53" s="88">
        <f>SUMIF(F7:F79,42,E7:E79)</f>
        <v>0</v>
      </c>
      <c r="X53" s="88">
        <f>'Request #28'!Y53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#28'!AA53,"OK","Alert,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#28'!V54,"OK","Send in Change Order")</f>
        <v>OK</v>
      </c>
      <c r="S54" s="85">
        <v>43</v>
      </c>
      <c r="T54" s="86" t="str">
        <f>'Request #28'!T54</f>
        <v>Other Fees</v>
      </c>
      <c r="U54" s="218">
        <f>'Request #28'!U54</f>
        <v>0</v>
      </c>
      <c r="V54" s="87">
        <f>'Request #28'!V54</f>
        <v>0</v>
      </c>
      <c r="W54" s="88">
        <f>SUMIF(F7:F79,43,E7:E79)</f>
        <v>0</v>
      </c>
      <c r="X54" s="88">
        <f>'Request #28'!Y54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#28'!AA54,"OK","Alert,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#28'!V55,"OK","Send in Change Order")</f>
        <v>OK</v>
      </c>
      <c r="S55" s="85">
        <v>44</v>
      </c>
      <c r="T55" s="86" t="str">
        <f>'Request #28'!T55</f>
        <v>Other Fees</v>
      </c>
      <c r="U55" s="218">
        <f>'Request #28'!U55</f>
        <v>0</v>
      </c>
      <c r="V55" s="87">
        <f>'Request #28'!V55</f>
        <v>0</v>
      </c>
      <c r="W55" s="88">
        <f>SUMIF(F7:F79,44,E7:E79)</f>
        <v>0</v>
      </c>
      <c r="X55" s="88">
        <f>'Request #28'!Y55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#28'!AA55,"OK","Alert,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#28'!V56,"OK","Send in Change Order")</f>
        <v>OK</v>
      </c>
      <c r="S56" s="85">
        <v>45</v>
      </c>
      <c r="T56" s="86" t="str">
        <f>'Request #28'!T56</f>
        <v>Other Fees</v>
      </c>
      <c r="U56" s="218">
        <f>'Request #28'!U56</f>
        <v>0</v>
      </c>
      <c r="V56" s="87">
        <f>'Request #28'!V56</f>
        <v>0</v>
      </c>
      <c r="W56" s="88">
        <f>SUMIF(F7:F79,45,E7:E79)</f>
        <v>0</v>
      </c>
      <c r="X56" s="88">
        <f>'Request #28'!Y56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#28'!AA56,"OK","Alert,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#28'!V57,"OK","Send in Change Order")</f>
        <v>OK</v>
      </c>
      <c r="S57" s="85">
        <v>46</v>
      </c>
      <c r="T57" s="86" t="str">
        <f>'Request #28'!T57</f>
        <v>Other Fees</v>
      </c>
      <c r="U57" s="218">
        <f>'Request #28'!U57</f>
        <v>0</v>
      </c>
      <c r="V57" s="87">
        <f>'Request #28'!V57</f>
        <v>0</v>
      </c>
      <c r="W57" s="88">
        <f>SUMIF(F7:F79,46,E7:E79)</f>
        <v>0</v>
      </c>
      <c r="X57" s="88">
        <f>'Request #28'!Y57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#28'!AA57,"OK","Alert,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#28'!V58,"OK","Send in Change Order")</f>
        <v>OK</v>
      </c>
      <c r="S58" s="85">
        <v>47</v>
      </c>
      <c r="T58" s="86" t="str">
        <f>'Request #28'!T58</f>
        <v>Other Fees</v>
      </c>
      <c r="U58" s="218">
        <f>'Request #28'!U58</f>
        <v>0</v>
      </c>
      <c r="V58" s="87">
        <f>'Request #28'!V58</f>
        <v>0</v>
      </c>
      <c r="W58" s="88">
        <f>SUMIF(F7:F79,47,E7:E79)</f>
        <v>0</v>
      </c>
      <c r="X58" s="88">
        <f>'Request #28'!Y58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#28'!AA58,"OK","Alert,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#28'!V59,"OK","Send in Change Order")</f>
        <v>OK</v>
      </c>
      <c r="S59" s="85">
        <v>48</v>
      </c>
      <c r="T59" s="86" t="str">
        <f>'Request #28'!T59</f>
        <v>Other Fees</v>
      </c>
      <c r="U59" s="218">
        <f>'Request #28'!U59</f>
        <v>0</v>
      </c>
      <c r="V59" s="87">
        <f>'Request #28'!V59</f>
        <v>0</v>
      </c>
      <c r="W59" s="88">
        <f>SUMIF(F7:F79,48,E7:E79)</f>
        <v>0</v>
      </c>
      <c r="X59" s="88">
        <f>'Request #28'!Y59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#28'!AA59,"OK","Alert,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#28'!V60,"OK","Send in Change Order")</f>
        <v>OK</v>
      </c>
      <c r="S60" s="85">
        <v>49</v>
      </c>
      <c r="T60" s="86" t="str">
        <f>'Request #28'!T60</f>
        <v>Other Fees</v>
      </c>
      <c r="U60" s="218">
        <f>'Request #28'!U60</f>
        <v>0</v>
      </c>
      <c r="V60" s="87">
        <f>'Request #28'!V60</f>
        <v>0</v>
      </c>
      <c r="W60" s="88">
        <f>SUMIF(F7:F79,49,E7:E79)</f>
        <v>0</v>
      </c>
      <c r="X60" s="88">
        <f>'Request #28'!Y60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#28'!AA60,"OK","Alert,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#28'!V61,"OK","Send in Change Order")</f>
        <v>OK</v>
      </c>
      <c r="S61" s="85">
        <v>50</v>
      </c>
      <c r="T61" s="86" t="str">
        <f>'Request #28'!T61</f>
        <v>Other Fees</v>
      </c>
      <c r="U61" s="218">
        <f>'Request #28'!U61</f>
        <v>0</v>
      </c>
      <c r="V61" s="87">
        <f>'Request #28'!V61</f>
        <v>0</v>
      </c>
      <c r="W61" s="88">
        <f>SUMIF(F7:F79,50,E7:E79)</f>
        <v>0</v>
      </c>
      <c r="X61" s="88">
        <f>'Request #28'!Y61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#28'!AA61,"OK","Alert,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#28'!V62,"OK","Send in Change Order")</f>
        <v>OK</v>
      </c>
      <c r="S62" s="85">
        <v>51</v>
      </c>
      <c r="T62" s="86" t="str">
        <f>'Request #28'!T62</f>
        <v>Other Fees</v>
      </c>
      <c r="U62" s="218">
        <f>'Request #28'!U62</f>
        <v>0</v>
      </c>
      <c r="V62" s="87">
        <f>'Request #28'!V62</f>
        <v>0</v>
      </c>
      <c r="W62" s="88">
        <f>SUMIF(F7:F79,51,E7:E79)</f>
        <v>0</v>
      </c>
      <c r="X62" s="88">
        <f>'Request #28'!Y62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#28'!AA62,"OK","Alert,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#28'!V63,"OK","Send in Change Order")</f>
        <v>OK</v>
      </c>
      <c r="S63" s="85">
        <v>52</v>
      </c>
      <c r="T63" s="86" t="str">
        <f>'Request #28'!T63</f>
        <v>Worked Performed by Owner</v>
      </c>
      <c r="U63" s="218">
        <f>'Request #28'!U63</f>
        <v>0</v>
      </c>
      <c r="V63" s="87">
        <f>'Request #28'!V63</f>
        <v>0</v>
      </c>
      <c r="W63" s="88">
        <f>SUMIF(F7:F79,52,E7:E79)</f>
        <v>0</v>
      </c>
      <c r="X63" s="88">
        <f>'Request #28'!Y63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#28'!AA63,"OK","Alert,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#28'!V64,"OK","Send in Change Order")</f>
        <v>OK</v>
      </c>
      <c r="S64" s="85">
        <v>53</v>
      </c>
      <c r="T64" s="86" t="str">
        <f>'Request #28'!T64</f>
        <v>Equipment (Major)</v>
      </c>
      <c r="U64" s="218">
        <f>'Request #28'!U64</f>
        <v>0</v>
      </c>
      <c r="V64" s="87">
        <f>'Request #28'!V64</f>
        <v>0</v>
      </c>
      <c r="W64" s="88">
        <f>SUMIF(F7:F79,53,E7:E79)</f>
        <v>0</v>
      </c>
      <c r="X64" s="88">
        <f>'Request #28'!Y64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#28'!AA64,"OK","Alert,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#28'!V65,"OK","Send in Change Order")</f>
        <v>OK</v>
      </c>
      <c r="S65" s="85">
        <v>54</v>
      </c>
      <c r="T65" s="102" t="s">
        <v>90</v>
      </c>
      <c r="U65" s="218">
        <f>'Request #28'!U65</f>
        <v>0</v>
      </c>
      <c r="V65" s="87">
        <f>'Request #28'!V65</f>
        <v>0</v>
      </c>
      <c r="W65" s="104"/>
      <c r="X65" s="88">
        <f>'Request #28'!Y65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#28'!AA65,"OK","Alert,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#28'!V66,"OK","Send in Change Order")</f>
        <v>OK</v>
      </c>
      <c r="S66" s="85">
        <v>55</v>
      </c>
      <c r="T66" s="86"/>
      <c r="U66" s="218">
        <f>'Request #28'!U66</f>
        <v>0</v>
      </c>
      <c r="V66" s="87">
        <f>'Request #28'!V66</f>
        <v>0</v>
      </c>
      <c r="W66" s="88">
        <f>SUMIF(F7:F79,55,E7:E79)</f>
        <v>0</v>
      </c>
      <c r="X66" s="88">
        <f>'Request #28'!Y66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#28'!AA66,"OK","Alert,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#28'!V67,"OK","Send in Change Order")</f>
        <v>OK</v>
      </c>
      <c r="S67" s="85">
        <v>56</v>
      </c>
      <c r="T67" s="79"/>
      <c r="U67" s="218">
        <f>'Request #28'!U67</f>
        <v>0</v>
      </c>
      <c r="V67" s="87">
        <f>'Request #28'!V67</f>
        <v>0</v>
      </c>
      <c r="W67" s="88">
        <f>SUMIF(F7:F79,56,E7:E79)</f>
        <v>0</v>
      </c>
      <c r="X67" s="88">
        <f>'Request #28'!Y67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#28'!AA67,"OK","Alert,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#28'!V68,"OK","Send in Change Order")</f>
        <v>OK</v>
      </c>
      <c r="S68" s="316" t="s">
        <v>60</v>
      </c>
      <c r="T68" s="317"/>
      <c r="U68" s="224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#28'!AA68,"OK","Alert,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25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226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27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28" t="e">
        <f>V72/V68</f>
        <v>#DIV/0!</v>
      </c>
      <c r="V72" s="88">
        <f>V68-V74-V73</f>
        <v>0</v>
      </c>
      <c r="W72" s="87">
        <v>0</v>
      </c>
      <c r="X72" s="168">
        <f>'Request #28'!Y72</f>
        <v>0</v>
      </c>
      <c r="Y72" s="168">
        <f t="shared" ref="Y72:Y73" si="8">W72+X72</f>
        <v>0</v>
      </c>
      <c r="Z72" s="16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#28'!V73,"OK","Send in Change Order")</f>
        <v>OK</v>
      </c>
      <c r="S73" s="86" t="s">
        <v>95</v>
      </c>
      <c r="T73" s="114"/>
      <c r="U73" s="228" t="e">
        <f>V73/V68</f>
        <v>#DIV/0!</v>
      </c>
      <c r="V73" s="87">
        <f>'Request #28'!V73</f>
        <v>0</v>
      </c>
      <c r="W73" s="87">
        <v>0</v>
      </c>
      <c r="X73" s="168">
        <f>'Request #28'!Y73</f>
        <v>0</v>
      </c>
      <c r="Y73" s="168">
        <f t="shared" si="8"/>
        <v>0</v>
      </c>
      <c r="Z73" s="16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#28'!V74,"OK","Send in Change Order")</f>
        <v>OK</v>
      </c>
      <c r="S74" s="120" t="s">
        <v>96</v>
      </c>
      <c r="T74" s="121"/>
      <c r="U74" s="228" t="e">
        <f>V74/V68</f>
        <v>#DIV/0!</v>
      </c>
      <c r="V74" s="87">
        <f>'Request #28'!V74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221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30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30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31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221"/>
      <c r="V80" s="55"/>
      <c r="W80" s="55"/>
      <c r="X80" s="138"/>
      <c r="Y80" s="45" t="s">
        <v>108</v>
      </c>
      <c r="Z80" s="43"/>
      <c r="AA80" s="88">
        <f>'Request #28'!AA79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29</v>
      </c>
      <c r="V87" s="55"/>
      <c r="W87" s="55"/>
      <c r="X87" s="138"/>
      <c r="Y87" s="45" t="s">
        <v>108</v>
      </c>
      <c r="Z87" s="43"/>
      <c r="AA87" s="88">
        <f>'Request #28'!AA86</f>
        <v>0</v>
      </c>
      <c r="AB87" s="110"/>
    </row>
    <row r="88" spans="1:28" ht="30" customHeight="1" thickBot="1" x14ac:dyDescent="0.35">
      <c r="S88" s="55"/>
      <c r="T88" s="55"/>
      <c r="U88" s="221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221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221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221"/>
      <c r="V91" s="55"/>
      <c r="W91" s="55"/>
      <c r="X91" s="55"/>
    </row>
    <row r="92" spans="1:28" ht="30" customHeight="1" x14ac:dyDescent="0.3">
      <c r="S92" s="55"/>
      <c r="T92" s="55"/>
      <c r="U92" s="221"/>
      <c r="V92" s="55"/>
      <c r="W92" s="55"/>
      <c r="X92" s="55"/>
    </row>
    <row r="93" spans="1:28" ht="30" customHeight="1" x14ac:dyDescent="0.3">
      <c r="S93" s="55"/>
      <c r="T93" s="55"/>
      <c r="U93" s="221"/>
      <c r="V93" s="55"/>
      <c r="W93" s="55"/>
      <c r="X93" s="55"/>
    </row>
    <row r="94" spans="1:28" ht="30" customHeight="1" x14ac:dyDescent="0.3">
      <c r="S94" s="55"/>
      <c r="T94" s="55"/>
      <c r="U94" s="221"/>
      <c r="V94" s="55"/>
      <c r="W94" s="55"/>
      <c r="X94" s="55"/>
    </row>
    <row r="95" spans="1:28" ht="30" customHeight="1" x14ac:dyDescent="0.3">
      <c r="S95" s="55"/>
      <c r="T95" s="55"/>
      <c r="U95" s="221"/>
      <c r="V95" s="55"/>
      <c r="W95" s="55"/>
      <c r="X95" s="55"/>
    </row>
    <row r="96" spans="1:28" ht="30" customHeight="1" x14ac:dyDescent="0.3">
      <c r="S96" s="55"/>
      <c r="T96" s="55"/>
      <c r="U96" s="221"/>
      <c r="V96" s="55"/>
      <c r="W96" s="55"/>
      <c r="X96" s="55"/>
    </row>
    <row r="97" spans="15:24" ht="30" customHeight="1" x14ac:dyDescent="0.3">
      <c r="S97" s="55"/>
      <c r="T97" s="55"/>
      <c r="U97" s="221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agUAovXyUWX9cG62/DxB2Pp3BN9VPTU5Rpm8cACbSS9c9AAIovZ78nZkk17BZ9E505lW3xcgKDpnHwxlAR4aPA==" saltValue="llOcq5mklLuQKoGi6Aefog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178" priority="10" operator="containsText" text="Change">
      <formula>NOT(ISERROR(SEARCH("Change",R1)))</formula>
    </cfRule>
  </conditionalFormatting>
  <conditionalFormatting sqref="R45:R48">
    <cfRule type="cellIs" dxfId="177" priority="7" operator="equal">
      <formula>"Send in Change Order"</formula>
    </cfRule>
  </conditionalFormatting>
  <conditionalFormatting sqref="W68">
    <cfRule type="cellIs" dxfId="176" priority="2" operator="notEqual">
      <formula>$E$82</formula>
    </cfRule>
    <cfRule type="cellIs" dxfId="175" priority="3" operator="greaterThan">
      <formula>$E$82</formula>
    </cfRule>
    <cfRule type="cellIs" dxfId="174" priority="4" operator="notEqual">
      <formula>$E$82</formula>
    </cfRule>
  </conditionalFormatting>
  <conditionalFormatting sqref="Z12:Z44">
    <cfRule type="cellIs" dxfId="173" priority="8" operator="lessThan">
      <formula>0</formula>
    </cfRule>
  </conditionalFormatting>
  <conditionalFormatting sqref="Z49:Z68">
    <cfRule type="cellIs" dxfId="172" priority="5" operator="lessThan">
      <formula>0</formula>
    </cfRule>
  </conditionalFormatting>
  <conditionalFormatting sqref="AA68">
    <cfRule type="cellIs" dxfId="171" priority="1" operator="notEqual">
      <formula>$O$82</formula>
    </cfRule>
  </conditionalFormatting>
  <conditionalFormatting sqref="AB1:AB1048576">
    <cfRule type="containsText" dxfId="170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2" manualBreakCount="12">
    <brk id="6" max="88" man="1"/>
    <brk id="10" max="1048575" man="1"/>
    <brk id="16" max="88" man="1"/>
    <brk id="18" max="1048575" man="1"/>
    <brk id="27" max="88" man="1"/>
    <brk id="29" max="1048575" man="1"/>
    <brk id="51" max="1048575" man="1"/>
    <brk id="52" max="1048575" man="1"/>
    <brk id="99" max="1048575" man="1"/>
    <brk id="101" max="1048575" man="1"/>
    <brk id="110" max="1048575" man="1"/>
    <brk id="111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2187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109375" style="50" customWidth="1"/>
    <col min="19" max="19" width="5.6640625" style="39" customWidth="1"/>
    <col min="20" max="20" width="30.77734375" style="39" customWidth="1"/>
    <col min="21" max="21" width="17.77734375" style="219" customWidth="1"/>
    <col min="22" max="27" width="18.88671875" style="39" customWidth="1"/>
    <col min="28" max="28" width="26.10937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220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30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220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220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221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22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23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30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218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#29'!V12,"OK","Send in Change Order")</f>
        <v>OK</v>
      </c>
      <c r="S12" s="85">
        <v>1</v>
      </c>
      <c r="T12" s="86" t="str">
        <f>'Request #29'!T12</f>
        <v>Land/Site Grading &amp; Improv.</v>
      </c>
      <c r="U12" s="218">
        <f>'Request #29'!U12</f>
        <v>0</v>
      </c>
      <c r="V12" s="87">
        <f>'Request #29'!V12</f>
        <v>0</v>
      </c>
      <c r="W12" s="88">
        <f>SUMIF(F7:F79,1,E7:E79)</f>
        <v>0</v>
      </c>
      <c r="X12" s="88">
        <f>'Request #29'!Y12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#29'!AA12,"OK","Alert,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#29'!V13,"OK","Send in Change Order")</f>
        <v>OK</v>
      </c>
      <c r="S13" s="85">
        <v>2</v>
      </c>
      <c r="T13" s="86" t="str">
        <f>'Request #29'!T13</f>
        <v xml:space="preserve">General Contract </v>
      </c>
      <c r="U13" s="218">
        <f>'Request #29'!U13</f>
        <v>0</v>
      </c>
      <c r="V13" s="87">
        <f>'Request #29'!V13</f>
        <v>0</v>
      </c>
      <c r="W13" s="88">
        <f>SUMIF(F7:F79,2,E7:E79)</f>
        <v>0</v>
      </c>
      <c r="X13" s="88">
        <f>'Request #29'!Y13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#29'!AA13,"OK","Alert,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#29'!V14,"OK","Send in Change Order")</f>
        <v>OK</v>
      </c>
      <c r="S14" s="85">
        <v>3</v>
      </c>
      <c r="T14" s="86" t="str">
        <f>'Request #29'!T14</f>
        <v>Designer Contract</v>
      </c>
      <c r="U14" s="218">
        <f>'Request #29'!U14</f>
        <v>0</v>
      </c>
      <c r="V14" s="87">
        <f>'Request #29'!V14</f>
        <v>0</v>
      </c>
      <c r="W14" s="88">
        <f>SUMIF(F7:F79,3,E7:E79)</f>
        <v>0</v>
      </c>
      <c r="X14" s="88">
        <f>'Request #29'!Y14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#29'!AA14,"OK","Alert,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#29'!V15,"OK","Send in Change Order")</f>
        <v>OK</v>
      </c>
      <c r="S15" s="85">
        <v>4</v>
      </c>
      <c r="T15" s="86" t="str">
        <f>'Request #29'!T15</f>
        <v>Designer Reimbursables</v>
      </c>
      <c r="U15" s="218">
        <f>'Request #29'!U15</f>
        <v>0</v>
      </c>
      <c r="V15" s="87">
        <f>'Request #29'!V15</f>
        <v>0</v>
      </c>
      <c r="W15" s="88">
        <f>SUMIF(F7:F79,4,E7:E79)</f>
        <v>0</v>
      </c>
      <c r="X15" s="88">
        <f>'Request #29'!Y15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#29'!AA15,"OK","Alert,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#29'!V16,"OK","Send in Change Order")</f>
        <v>OK</v>
      </c>
      <c r="S16" s="85">
        <v>5</v>
      </c>
      <c r="T16" s="86" t="str">
        <f>'Request #29'!T16</f>
        <v>Other Contracts</v>
      </c>
      <c r="U16" s="218">
        <f>'Request #29'!U16</f>
        <v>0</v>
      </c>
      <c r="V16" s="87">
        <f>'Request #29'!V16</f>
        <v>0</v>
      </c>
      <c r="W16" s="88">
        <f>SUMIF(F7:F79,5,E7:E79)</f>
        <v>0</v>
      </c>
      <c r="X16" s="88">
        <f>'Request #29'!Y16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#29'!AA16,"OK","Alert,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#29'!V17,"OK","Send in Change Order")</f>
        <v>OK</v>
      </c>
      <c r="S17" s="85">
        <v>6</v>
      </c>
      <c r="T17" s="86" t="str">
        <f>'Request #29'!T17</f>
        <v>Other Contracts</v>
      </c>
      <c r="U17" s="218">
        <f>'Request #29'!U17</f>
        <v>0</v>
      </c>
      <c r="V17" s="87">
        <f>'Request #29'!V17</f>
        <v>0</v>
      </c>
      <c r="W17" s="88">
        <f>SUMIF(F7:F79,6,E7:E79)</f>
        <v>0</v>
      </c>
      <c r="X17" s="88">
        <f>'Request #29'!Y17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#29'!AA17,"OK","Alert,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#29'!V18,"OK","Send in Change Order")</f>
        <v>OK</v>
      </c>
      <c r="S18" s="85">
        <v>7</v>
      </c>
      <c r="T18" s="86" t="str">
        <f>'Request #29'!T18</f>
        <v>Other Contracts</v>
      </c>
      <c r="U18" s="218">
        <f>'Request #29'!U18</f>
        <v>0</v>
      </c>
      <c r="V18" s="87">
        <f>'Request #29'!V18</f>
        <v>0</v>
      </c>
      <c r="W18" s="88">
        <f>SUMIF(F7:F79,7,E7:E79)</f>
        <v>0</v>
      </c>
      <c r="X18" s="88">
        <f>'Request #29'!Y18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#29'!AA18,"OK","Alert,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#29'!V19,"OK","Send in Change Order")</f>
        <v>OK</v>
      </c>
      <c r="S19" s="85">
        <v>8</v>
      </c>
      <c r="T19" s="86" t="str">
        <f>'Request #29'!T19</f>
        <v>Other Contracts</v>
      </c>
      <c r="U19" s="218">
        <f>'Request #29'!U19</f>
        <v>0</v>
      </c>
      <c r="V19" s="87">
        <f>'Request #29'!V19</f>
        <v>0</v>
      </c>
      <c r="W19" s="88">
        <f>SUMIF(F7:F79,8,E7:E79)</f>
        <v>0</v>
      </c>
      <c r="X19" s="88">
        <f>'Request #29'!Y19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#29'!AA19,"OK","Alert,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#29'!V20,"OK","Send in Change Order")</f>
        <v>OK</v>
      </c>
      <c r="S20" s="85">
        <v>9</v>
      </c>
      <c r="T20" s="86" t="str">
        <f>'Request #29'!T20</f>
        <v>Other Contracts</v>
      </c>
      <c r="U20" s="218">
        <f>'Request #29'!U20</f>
        <v>0</v>
      </c>
      <c r="V20" s="87">
        <f>'Request #29'!V20</f>
        <v>0</v>
      </c>
      <c r="W20" s="88">
        <f>SUMIF(F7:F79,9,E7:E79)</f>
        <v>0</v>
      </c>
      <c r="X20" s="88">
        <f>'Request #29'!Y20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#29'!AA20,"OK","Alert,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#29'!V21,"OK","Send in Change Order")</f>
        <v>OK</v>
      </c>
      <c r="S21" s="85">
        <v>10</v>
      </c>
      <c r="T21" s="86" t="str">
        <f>'Request #29'!T21</f>
        <v>Other Contracts</v>
      </c>
      <c r="U21" s="218">
        <f>'Request #29'!U21</f>
        <v>0</v>
      </c>
      <c r="V21" s="87">
        <f>'Request #29'!V21</f>
        <v>0</v>
      </c>
      <c r="W21" s="88">
        <f>SUMIF(F7:F79,10,E7:E79)</f>
        <v>0</v>
      </c>
      <c r="X21" s="88">
        <f>'Request #29'!Y21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#29'!AA21,"OK","Alert,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#29'!V22,"OK","Send in Change Order")</f>
        <v>OK</v>
      </c>
      <c r="S22" s="85">
        <v>11</v>
      </c>
      <c r="T22" s="86" t="str">
        <f>'Request #29'!T22</f>
        <v>Other Contracts</v>
      </c>
      <c r="U22" s="218">
        <f>'Request #29'!U22</f>
        <v>0</v>
      </c>
      <c r="V22" s="87">
        <f>'Request #29'!V22</f>
        <v>0</v>
      </c>
      <c r="W22" s="88">
        <f>SUMIF(F7:F79,11,E7:E79)</f>
        <v>0</v>
      </c>
      <c r="X22" s="88">
        <f>'Request #29'!Y22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#29'!AA22,"OK","Alert,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#29'!V23,"OK","Send in Change Order")</f>
        <v>OK</v>
      </c>
      <c r="S23" s="85">
        <v>12</v>
      </c>
      <c r="T23" s="86" t="str">
        <f>'Request #29'!T23</f>
        <v>Other Contracts</v>
      </c>
      <c r="U23" s="218">
        <f>'Request #29'!U23</f>
        <v>0</v>
      </c>
      <c r="V23" s="87">
        <f>'Request #29'!V23</f>
        <v>0</v>
      </c>
      <c r="W23" s="88">
        <f>SUMIF(F7:F79,12,E7:E79)</f>
        <v>0</v>
      </c>
      <c r="X23" s="88">
        <f>'Request #29'!Y23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#29'!AA23,"OK","Alert,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#29'!V24,"OK","Send in Change Order")</f>
        <v>OK</v>
      </c>
      <c r="S24" s="85">
        <v>13</v>
      </c>
      <c r="T24" s="86" t="str">
        <f>'Request #29'!T24</f>
        <v>Other Contracts</v>
      </c>
      <c r="U24" s="218">
        <f>'Request #29'!U24</f>
        <v>0</v>
      </c>
      <c r="V24" s="87">
        <f>'Request #29'!V24</f>
        <v>0</v>
      </c>
      <c r="W24" s="88">
        <f>SUMIF(F7:F79,13,E7:E79)</f>
        <v>0</v>
      </c>
      <c r="X24" s="88">
        <f>'Request #29'!Y24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#29'!AA24,"OK","Alert,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#29'!V25,"OK","Send in Change Order")</f>
        <v>OK</v>
      </c>
      <c r="S25" s="85">
        <v>14</v>
      </c>
      <c r="T25" s="86" t="str">
        <f>'Request #29'!T25</f>
        <v>Other Contracts</v>
      </c>
      <c r="U25" s="218">
        <f>'Request #29'!U25</f>
        <v>0</v>
      </c>
      <c r="V25" s="87">
        <f>'Request #29'!V25</f>
        <v>0</v>
      </c>
      <c r="W25" s="88">
        <f>SUMIF(F7:F79,14,E7:E79)</f>
        <v>0</v>
      </c>
      <c r="X25" s="88">
        <f>'Request #29'!Y25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#29'!AA25,"OK","Alert,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#29'!V26,"OK","Send in Change Order")</f>
        <v>OK</v>
      </c>
      <c r="S26" s="85">
        <v>15</v>
      </c>
      <c r="T26" s="86" t="str">
        <f>'Request #29'!T26</f>
        <v>Other Contracts</v>
      </c>
      <c r="U26" s="218">
        <f>'Request #29'!U26</f>
        <v>0</v>
      </c>
      <c r="V26" s="87">
        <f>'Request #29'!V26</f>
        <v>0</v>
      </c>
      <c r="W26" s="88">
        <f>SUMIF(F7:F79,15,E7:E79)</f>
        <v>0</v>
      </c>
      <c r="X26" s="88">
        <f>'Request #29'!Y26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#29'!AA26,"OK","Alert,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#29'!V27,"OK","Send in Change Order")</f>
        <v>OK</v>
      </c>
      <c r="S27" s="85">
        <v>16</v>
      </c>
      <c r="T27" s="86" t="str">
        <f>'Request #29'!T27</f>
        <v>Other Contracts</v>
      </c>
      <c r="U27" s="218">
        <f>'Request #29'!U27</f>
        <v>0</v>
      </c>
      <c r="V27" s="87">
        <f>'Request #29'!V27</f>
        <v>0</v>
      </c>
      <c r="W27" s="88">
        <f>SUMIF(F7:F79,16,E7:E79)</f>
        <v>0</v>
      </c>
      <c r="X27" s="88">
        <f>'Request #29'!Y27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#29'!AA27,"OK","Alert,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#29'!V28,"OK","Send in Change Order")</f>
        <v>OK</v>
      </c>
      <c r="S28" s="85">
        <v>17</v>
      </c>
      <c r="T28" s="86" t="str">
        <f>'Request #29'!T28</f>
        <v>Other Contracts</v>
      </c>
      <c r="U28" s="218">
        <f>'Request #29'!U28</f>
        <v>0</v>
      </c>
      <c r="V28" s="87">
        <f>'Request #29'!V28</f>
        <v>0</v>
      </c>
      <c r="W28" s="88">
        <f>SUMIF(F7:F79,17,E7:E79)</f>
        <v>0</v>
      </c>
      <c r="X28" s="88">
        <f>'Request #29'!Y28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#29'!AA28,"OK","Alert,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#29'!V29,"OK","Send in Change Order")</f>
        <v>OK</v>
      </c>
      <c r="S29" s="85">
        <v>18</v>
      </c>
      <c r="T29" s="86" t="str">
        <f>'Request #29'!T29</f>
        <v>Other Contracts</v>
      </c>
      <c r="U29" s="218">
        <f>'Request #29'!U29</f>
        <v>0</v>
      </c>
      <c r="V29" s="87">
        <f>'Request #29'!V29</f>
        <v>0</v>
      </c>
      <c r="W29" s="88">
        <f>SUMIF(F7:F79,18,E7:E79)</f>
        <v>0</v>
      </c>
      <c r="X29" s="88">
        <f>'Request #29'!Y29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#29'!AA29,"OK","Alert,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#29'!V30,"OK","Send in Change Order")</f>
        <v>OK</v>
      </c>
      <c r="S30" s="85">
        <v>19</v>
      </c>
      <c r="T30" s="86" t="str">
        <f>'Request #29'!T30</f>
        <v>Other Contracts</v>
      </c>
      <c r="U30" s="218">
        <f>'Request #29'!U30</f>
        <v>0</v>
      </c>
      <c r="V30" s="87">
        <f>'Request #29'!V30</f>
        <v>0</v>
      </c>
      <c r="W30" s="88">
        <f>SUMIF(F7:F79,19,E7:E79)</f>
        <v>0</v>
      </c>
      <c r="X30" s="88">
        <f>'Request #29'!Y30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#29'!AA30,"OK","Alert,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#29'!V31,"OK","Send in Change Order")</f>
        <v>OK</v>
      </c>
      <c r="S31" s="85">
        <v>20</v>
      </c>
      <c r="T31" s="86" t="str">
        <f>'Request #29'!T31</f>
        <v>Other Contracts</v>
      </c>
      <c r="U31" s="218">
        <f>'Request #29'!U31</f>
        <v>0</v>
      </c>
      <c r="V31" s="87">
        <f>'Request #29'!V31</f>
        <v>0</v>
      </c>
      <c r="W31" s="88">
        <f>SUMIF(F7:F79,20,E7:E79)</f>
        <v>0</v>
      </c>
      <c r="X31" s="88">
        <f>'Request #29'!Y31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#29'!AA31,"OK","Alert,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#29'!V32,"OK","Send in Change Order")</f>
        <v>OK</v>
      </c>
      <c r="S32" s="85">
        <v>21</v>
      </c>
      <c r="T32" s="86" t="str">
        <f>'Request #29'!T32</f>
        <v>Other Contracts</v>
      </c>
      <c r="U32" s="218">
        <f>'Request #29'!U32</f>
        <v>0</v>
      </c>
      <c r="V32" s="87">
        <f>'Request #29'!V32</f>
        <v>0</v>
      </c>
      <c r="W32" s="88">
        <f>SUMIF(F7:F79,21,E7:E79)</f>
        <v>0</v>
      </c>
      <c r="X32" s="88">
        <f>'Request #29'!Y32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#29'!AA32,"OK","Alert,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#29'!V33,"OK","Send in Change Order")</f>
        <v>OK</v>
      </c>
      <c r="S33" s="85">
        <v>22</v>
      </c>
      <c r="T33" s="86" t="str">
        <f>'Request #29'!T33</f>
        <v>Other Contracts</v>
      </c>
      <c r="U33" s="218">
        <f>'Request #29'!U33</f>
        <v>0</v>
      </c>
      <c r="V33" s="87">
        <f>'Request #29'!V33</f>
        <v>0</v>
      </c>
      <c r="W33" s="88">
        <f>SUMIF(F7:F79,22,E7:E79)</f>
        <v>0</v>
      </c>
      <c r="X33" s="88">
        <f>'Request #29'!Y33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#29'!AA33,"OK","Alert,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#29'!V34,"OK","Send in Change Order")</f>
        <v>OK</v>
      </c>
      <c r="S34" s="85">
        <v>23</v>
      </c>
      <c r="T34" s="86" t="str">
        <f>'Request #29'!T34</f>
        <v>Other Contracts</v>
      </c>
      <c r="U34" s="218">
        <f>'Request #29'!U34</f>
        <v>0</v>
      </c>
      <c r="V34" s="87">
        <f>'Request #29'!V34</f>
        <v>0</v>
      </c>
      <c r="W34" s="88">
        <f>SUMIF(F7:F79,23,E7:E79)</f>
        <v>0</v>
      </c>
      <c r="X34" s="88">
        <f>'Request #29'!Y34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#29'!AA34,"OK","Alert,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#29'!V35,"OK","Send in Change Order")</f>
        <v>OK</v>
      </c>
      <c r="S35" s="85">
        <v>24</v>
      </c>
      <c r="T35" s="86" t="str">
        <f>'Request #29'!T35</f>
        <v>Other Contracts</v>
      </c>
      <c r="U35" s="218">
        <f>'Request #29'!U35</f>
        <v>0</v>
      </c>
      <c r="V35" s="87">
        <f>'Request #29'!V35</f>
        <v>0</v>
      </c>
      <c r="W35" s="88">
        <f>SUMIF(F7:F79,24,E7:E79)</f>
        <v>0</v>
      </c>
      <c r="X35" s="88">
        <f>'Request #29'!Y35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#29'!AA35,"OK","Alert,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#29'!V36,"OK","Send in Change Order")</f>
        <v>OK</v>
      </c>
      <c r="S36" s="85">
        <v>25</v>
      </c>
      <c r="T36" s="86" t="str">
        <f>'Request #29'!T36</f>
        <v>Other Contracts</v>
      </c>
      <c r="U36" s="218">
        <f>'Request #29'!U36</f>
        <v>0</v>
      </c>
      <c r="V36" s="87">
        <f>'Request #29'!V36</f>
        <v>0</v>
      </c>
      <c r="W36" s="88">
        <f>SUMIF(F7:F79,25,E7:E79)</f>
        <v>0</v>
      </c>
      <c r="X36" s="88">
        <f>'Request #29'!Y36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#29'!AA36,"OK","Alert,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#29'!V37,"OK","Send in Change Order")</f>
        <v>OK</v>
      </c>
      <c r="S37" s="85">
        <v>26</v>
      </c>
      <c r="T37" s="86" t="str">
        <f>'Request #29'!T37</f>
        <v>Other Fees</v>
      </c>
      <c r="U37" s="218">
        <f>'Request #29'!U37</f>
        <v>0</v>
      </c>
      <c r="V37" s="87">
        <f>'Request #29'!V37</f>
        <v>0</v>
      </c>
      <c r="W37" s="88">
        <f>SUMIF(F7:F79,26,E7:E79)</f>
        <v>0</v>
      </c>
      <c r="X37" s="88">
        <f>'Request #29'!Y37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#29'!AA37,"OK","Alert,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#29'!V38,"OK","Send in Change Order")</f>
        <v>OK</v>
      </c>
      <c r="S38" s="85">
        <v>27</v>
      </c>
      <c r="T38" s="86" t="str">
        <f>'Request #29'!T38</f>
        <v>Other Fees</v>
      </c>
      <c r="U38" s="218">
        <f>'Request #29'!U38</f>
        <v>0</v>
      </c>
      <c r="V38" s="87">
        <f>'Request #29'!V38</f>
        <v>0</v>
      </c>
      <c r="W38" s="88">
        <f>SUMIF(F7:F79,27,E7:E79)</f>
        <v>0</v>
      </c>
      <c r="X38" s="88">
        <f>'Request #29'!Y38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#29'!AA38,"OK","Alert,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#29'!V39,"OK","Send in Change Order")</f>
        <v>OK</v>
      </c>
      <c r="S39" s="85">
        <v>28</v>
      </c>
      <c r="T39" s="86" t="str">
        <f>'Request #29'!T39</f>
        <v>Other Fees</v>
      </c>
      <c r="U39" s="218">
        <f>'Request #29'!U39</f>
        <v>0</v>
      </c>
      <c r="V39" s="87">
        <f>'Request #29'!V39</f>
        <v>0</v>
      </c>
      <c r="W39" s="88">
        <f>SUMIF(F7:F79,28,E7:E79)</f>
        <v>0</v>
      </c>
      <c r="X39" s="88">
        <f>'Request #29'!Y39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#29'!AA39,"OK","Alert,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#29'!V40,"OK","Send in Change Order")</f>
        <v>OK</v>
      </c>
      <c r="S40" s="85">
        <v>29</v>
      </c>
      <c r="T40" s="86" t="str">
        <f>'Request #29'!T40</f>
        <v>Other Fees</v>
      </c>
      <c r="U40" s="218">
        <f>'Request #29'!U40</f>
        <v>0</v>
      </c>
      <c r="V40" s="87">
        <f>'Request #29'!V40</f>
        <v>0</v>
      </c>
      <c r="W40" s="88">
        <f>SUMIF(F7:F79,29,E7:E79)</f>
        <v>0</v>
      </c>
      <c r="X40" s="88">
        <f>'Request #29'!Y40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#29'!AA40,"OK","Alert,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#29'!V41,"OK","Send in Change Order")</f>
        <v>OK</v>
      </c>
      <c r="S41" s="85">
        <v>30</v>
      </c>
      <c r="T41" s="86" t="str">
        <f>'Request #29'!T41</f>
        <v>Other Fees</v>
      </c>
      <c r="U41" s="218">
        <f>'Request #29'!U41</f>
        <v>0</v>
      </c>
      <c r="V41" s="87">
        <f>'Request #29'!V41</f>
        <v>0</v>
      </c>
      <c r="W41" s="88">
        <f>SUMIF(F7:F79,30,E7:E79)</f>
        <v>0</v>
      </c>
      <c r="X41" s="88">
        <f>'Request #29'!Y41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#29'!AA41,"OK","Alert,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#29'!V42,"OK","Send in Change Order")</f>
        <v>OK</v>
      </c>
      <c r="S42" s="85">
        <v>31</v>
      </c>
      <c r="T42" s="86" t="str">
        <f>'Request #29'!T42</f>
        <v>Other Fees</v>
      </c>
      <c r="U42" s="218">
        <f>'Request #29'!U42</f>
        <v>0</v>
      </c>
      <c r="V42" s="87">
        <f>'Request #29'!V42</f>
        <v>0</v>
      </c>
      <c r="W42" s="88">
        <f>SUMIF(F7:F79,31,E7:E79)</f>
        <v>0</v>
      </c>
      <c r="X42" s="88">
        <f>'Request #29'!Y42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#29'!AA42,"OK","Alert,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#29'!V43,"OK","Send in Change Order")</f>
        <v>OK</v>
      </c>
      <c r="S43" s="85">
        <v>32</v>
      </c>
      <c r="T43" s="86" t="str">
        <f>'Request #29'!T43</f>
        <v>Other Fees</v>
      </c>
      <c r="U43" s="218">
        <f>'Request #29'!U43</f>
        <v>0</v>
      </c>
      <c r="V43" s="87">
        <f>'Request #29'!V43</f>
        <v>0</v>
      </c>
      <c r="W43" s="88">
        <f>SUMIF(F7:F79,32,E7:E79)</f>
        <v>0</v>
      </c>
      <c r="X43" s="88">
        <f>'Request #29'!Y43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#29'!AA43,"OK","Alert,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#29'!V44,"OK","Send in Change Order")</f>
        <v>OK</v>
      </c>
      <c r="S44" s="85">
        <v>33</v>
      </c>
      <c r="T44" s="86" t="str">
        <f>'Request #29'!T44</f>
        <v>Other Fees</v>
      </c>
      <c r="U44" s="218">
        <f>'Request #29'!U44</f>
        <v>0</v>
      </c>
      <c r="V44" s="87">
        <f>'Request #29'!V44</f>
        <v>0</v>
      </c>
      <c r="W44" s="88">
        <f>SUMIF(F7:F79,33,E7:E79)</f>
        <v>0</v>
      </c>
      <c r="X44" s="88">
        <f>'Request #29'!Y44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#29'!AA44,"OK","Alert,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#29'!V49,"OK","Send in Change Order")</f>
        <v>OK</v>
      </c>
      <c r="S49" s="85">
        <v>38</v>
      </c>
      <c r="T49" s="86" t="str">
        <f>'Request #29'!T49</f>
        <v>Other Fees</v>
      </c>
      <c r="U49" s="218">
        <f>'Request #29'!U49</f>
        <v>0</v>
      </c>
      <c r="V49" s="87">
        <f>'Request #29'!V49</f>
        <v>0</v>
      </c>
      <c r="W49" s="88">
        <f>SUMIF(F7:F79,38,E7:E79)</f>
        <v>0</v>
      </c>
      <c r="X49" s="88">
        <f>'Request #29'!Y49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#29'!AA49,"OK","Alert,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#29'!V50,"OK","Send in Change Order")</f>
        <v>OK</v>
      </c>
      <c r="S50" s="85">
        <v>39</v>
      </c>
      <c r="T50" s="86" t="str">
        <f>'Request #29'!T50</f>
        <v>Other Fees</v>
      </c>
      <c r="U50" s="218">
        <f>'Request #29'!U50</f>
        <v>0</v>
      </c>
      <c r="V50" s="87">
        <f>'Request #29'!V50</f>
        <v>0</v>
      </c>
      <c r="W50" s="88">
        <f>SUMIF(F7:F79,39,E7:E79)</f>
        <v>0</v>
      </c>
      <c r="X50" s="88">
        <f>'Request #29'!Y50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#29'!AA50,"OK","Alert,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#29'!V51,"OK","Send in Change Order")</f>
        <v>OK</v>
      </c>
      <c r="S51" s="85">
        <v>40</v>
      </c>
      <c r="T51" s="86" t="str">
        <f>'Request #29'!T51</f>
        <v>Other Fees</v>
      </c>
      <c r="U51" s="218">
        <f>'Request #29'!U51</f>
        <v>0</v>
      </c>
      <c r="V51" s="87">
        <f>'Request #29'!V51</f>
        <v>0</v>
      </c>
      <c r="W51" s="88">
        <f>SUMIF(F7:F79,40,E7:E79)</f>
        <v>0</v>
      </c>
      <c r="X51" s="88">
        <f>'Request #29'!Y51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#29'!AA51,"OK","Alert,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#29'!V52,"OK","Send in Change Order")</f>
        <v>OK</v>
      </c>
      <c r="S52" s="85">
        <v>41</v>
      </c>
      <c r="T52" s="86" t="str">
        <f>'Request #29'!T52</f>
        <v>Other Fees</v>
      </c>
      <c r="U52" s="218">
        <f>'Request #29'!U52</f>
        <v>0</v>
      </c>
      <c r="V52" s="87">
        <f>'Request #29'!V52</f>
        <v>0</v>
      </c>
      <c r="W52" s="88">
        <f>SUMIF(F7:F79,41,E7:E79)</f>
        <v>0</v>
      </c>
      <c r="X52" s="88">
        <f>'Request #29'!Y52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#29'!AA52,"OK","Alert,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#29'!V53,"OK","Send in Change Order")</f>
        <v>OK</v>
      </c>
      <c r="S53" s="85">
        <v>42</v>
      </c>
      <c r="T53" s="86" t="str">
        <f>'Request #29'!T53</f>
        <v>Other Fees</v>
      </c>
      <c r="U53" s="218">
        <f>'Request #29'!U53</f>
        <v>0</v>
      </c>
      <c r="V53" s="87">
        <f>'Request #29'!V53</f>
        <v>0</v>
      </c>
      <c r="W53" s="88">
        <f>SUMIF(F7:F79,42,E7:E79)</f>
        <v>0</v>
      </c>
      <c r="X53" s="88">
        <f>'Request #29'!Y53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#29'!AA53,"OK","Alert,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#29'!V54,"OK","Send in Change Order")</f>
        <v>OK</v>
      </c>
      <c r="S54" s="85">
        <v>43</v>
      </c>
      <c r="T54" s="86" t="str">
        <f>'Request #29'!T54</f>
        <v>Other Fees</v>
      </c>
      <c r="U54" s="218">
        <f>'Request #29'!U54</f>
        <v>0</v>
      </c>
      <c r="V54" s="87">
        <f>'Request #29'!V54</f>
        <v>0</v>
      </c>
      <c r="W54" s="88">
        <f>SUMIF(F7:F79,43,E7:E79)</f>
        <v>0</v>
      </c>
      <c r="X54" s="88">
        <f>'Request #29'!Y54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#29'!AA54,"OK","Alert,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#29'!V55,"OK","Send in Change Order")</f>
        <v>OK</v>
      </c>
      <c r="S55" s="85">
        <v>44</v>
      </c>
      <c r="T55" s="86" t="str">
        <f>'Request #29'!T55</f>
        <v>Other Fees</v>
      </c>
      <c r="U55" s="218">
        <f>'Request #29'!U55</f>
        <v>0</v>
      </c>
      <c r="V55" s="87">
        <f>'Request #29'!V55</f>
        <v>0</v>
      </c>
      <c r="W55" s="88">
        <f>SUMIF(F7:F79,44,E7:E79)</f>
        <v>0</v>
      </c>
      <c r="X55" s="88">
        <f>'Request #29'!Y55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#29'!AA55,"OK","Alert,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#29'!V56,"OK","Send in Change Order")</f>
        <v>OK</v>
      </c>
      <c r="S56" s="85">
        <v>45</v>
      </c>
      <c r="T56" s="86" t="str">
        <f>'Request #29'!T56</f>
        <v>Other Fees</v>
      </c>
      <c r="U56" s="218">
        <f>'Request #29'!U56</f>
        <v>0</v>
      </c>
      <c r="V56" s="87">
        <f>'Request #29'!V56</f>
        <v>0</v>
      </c>
      <c r="W56" s="88">
        <f>SUMIF(F7:F79,45,E7:E79)</f>
        <v>0</v>
      </c>
      <c r="X56" s="88">
        <f>'Request #29'!Y56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#29'!AA56,"OK","Alert,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#29'!V57,"OK","Send in Change Order")</f>
        <v>OK</v>
      </c>
      <c r="S57" s="85">
        <v>46</v>
      </c>
      <c r="T57" s="86" t="str">
        <f>'Request #29'!T57</f>
        <v>Other Fees</v>
      </c>
      <c r="U57" s="218">
        <f>'Request #29'!U57</f>
        <v>0</v>
      </c>
      <c r="V57" s="87">
        <f>'Request #29'!V57</f>
        <v>0</v>
      </c>
      <c r="W57" s="88">
        <f>SUMIF(F7:F79,46,E7:E79)</f>
        <v>0</v>
      </c>
      <c r="X57" s="88">
        <f>'Request #29'!Y57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#29'!AA57,"OK","Alert,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#29'!V58,"OK","Send in Change Order")</f>
        <v>OK</v>
      </c>
      <c r="S58" s="85">
        <v>47</v>
      </c>
      <c r="T58" s="86" t="str">
        <f>'Request #29'!T58</f>
        <v>Other Fees</v>
      </c>
      <c r="U58" s="218">
        <f>'Request #29'!U58</f>
        <v>0</v>
      </c>
      <c r="V58" s="87">
        <f>'Request #29'!V58</f>
        <v>0</v>
      </c>
      <c r="W58" s="88">
        <f>SUMIF(F7:F79,47,E7:E79)</f>
        <v>0</v>
      </c>
      <c r="X58" s="88">
        <f>'Request #29'!Y58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#29'!AA58,"OK","Alert,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#29'!V59,"OK","Send in Change Order")</f>
        <v>OK</v>
      </c>
      <c r="S59" s="85">
        <v>48</v>
      </c>
      <c r="T59" s="86" t="str">
        <f>'Request #29'!T59</f>
        <v>Other Fees</v>
      </c>
      <c r="U59" s="218">
        <f>'Request #29'!U59</f>
        <v>0</v>
      </c>
      <c r="V59" s="87">
        <f>'Request #29'!V59</f>
        <v>0</v>
      </c>
      <c r="W59" s="88">
        <f>SUMIF(F7:F79,48,E7:E79)</f>
        <v>0</v>
      </c>
      <c r="X59" s="88">
        <f>'Request #29'!Y59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#29'!AA59,"OK","Alert,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#29'!V60,"OK","Send in Change Order")</f>
        <v>OK</v>
      </c>
      <c r="S60" s="85">
        <v>49</v>
      </c>
      <c r="T60" s="86" t="str">
        <f>'Request #29'!T60</f>
        <v>Other Fees</v>
      </c>
      <c r="U60" s="218">
        <f>'Request #29'!U60</f>
        <v>0</v>
      </c>
      <c r="V60" s="87">
        <f>'Request #29'!V60</f>
        <v>0</v>
      </c>
      <c r="W60" s="88">
        <f>SUMIF(F7:F79,49,E7:E79)</f>
        <v>0</v>
      </c>
      <c r="X60" s="88">
        <f>'Request #29'!Y60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#29'!AA60,"OK","Alert,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#29'!V61,"OK","Send in Change Order")</f>
        <v>OK</v>
      </c>
      <c r="S61" s="85">
        <v>50</v>
      </c>
      <c r="T61" s="86" t="str">
        <f>'Request #29'!T61</f>
        <v>Other Fees</v>
      </c>
      <c r="U61" s="218">
        <f>'Request #29'!U61</f>
        <v>0</v>
      </c>
      <c r="V61" s="87">
        <f>'Request #29'!V61</f>
        <v>0</v>
      </c>
      <c r="W61" s="88">
        <f>SUMIF(F7:F79,50,E7:E79)</f>
        <v>0</v>
      </c>
      <c r="X61" s="88">
        <f>'Request #29'!Y61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#29'!AA61,"OK","Alert,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#29'!V62,"OK","Send in Change Order")</f>
        <v>OK</v>
      </c>
      <c r="S62" s="85">
        <v>51</v>
      </c>
      <c r="T62" s="86" t="str">
        <f>'Request #29'!T62</f>
        <v>Other Fees</v>
      </c>
      <c r="U62" s="218">
        <f>'Request #29'!U62</f>
        <v>0</v>
      </c>
      <c r="V62" s="87">
        <f>'Request #29'!V62</f>
        <v>0</v>
      </c>
      <c r="W62" s="88">
        <f>SUMIF(F7:F79,51,E7:E79)</f>
        <v>0</v>
      </c>
      <c r="X62" s="88">
        <f>'Request #29'!Y62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#29'!AA62,"OK","Alert,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#29'!V63,"OK","Send in Change Order")</f>
        <v>OK</v>
      </c>
      <c r="S63" s="85">
        <v>52</v>
      </c>
      <c r="T63" s="86" t="str">
        <f>'Request #29'!T63</f>
        <v>Worked Performed by Owner</v>
      </c>
      <c r="U63" s="218">
        <f>'Request #29'!U63</f>
        <v>0</v>
      </c>
      <c r="V63" s="87">
        <f>'Request #29'!V63</f>
        <v>0</v>
      </c>
      <c r="W63" s="88">
        <f>SUMIF(F7:F79,52,E7:E79)</f>
        <v>0</v>
      </c>
      <c r="X63" s="88">
        <f>'Request #29'!Y63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#29'!AA63,"OK","Alert,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#29'!V64,"OK","Send in Change Order")</f>
        <v>OK</v>
      </c>
      <c r="S64" s="85">
        <v>53</v>
      </c>
      <c r="T64" s="86" t="str">
        <f>'Request #29'!T64</f>
        <v>Equipment (Major)</v>
      </c>
      <c r="U64" s="218">
        <f>'Request #29'!U64</f>
        <v>0</v>
      </c>
      <c r="V64" s="87">
        <f>'Request #29'!V64</f>
        <v>0</v>
      </c>
      <c r="W64" s="88">
        <f>SUMIF(F7:F79,53,E7:E79)</f>
        <v>0</v>
      </c>
      <c r="X64" s="88">
        <f>'Request #29'!Y64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#29'!AA64,"OK","Alert,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#29'!V65,"OK","Send in Change Order")</f>
        <v>OK</v>
      </c>
      <c r="S65" s="85">
        <v>54</v>
      </c>
      <c r="T65" s="102" t="s">
        <v>90</v>
      </c>
      <c r="U65" s="218">
        <f>'Request #29'!U65</f>
        <v>0</v>
      </c>
      <c r="V65" s="87">
        <f>'Request #29'!V65</f>
        <v>0</v>
      </c>
      <c r="W65" s="104"/>
      <c r="X65" s="88">
        <f>'Request #29'!Y65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#29'!AA65,"OK","Alert,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#29'!V66,"OK","Send in Change Order")</f>
        <v>OK</v>
      </c>
      <c r="S66" s="85">
        <v>55</v>
      </c>
      <c r="T66" s="86"/>
      <c r="U66" s="218">
        <f>'Request #29'!U66</f>
        <v>0</v>
      </c>
      <c r="V66" s="87">
        <f>'Request #29'!V66</f>
        <v>0</v>
      </c>
      <c r="W66" s="88">
        <f>SUMIF(F7:F79,55,E7:E79)</f>
        <v>0</v>
      </c>
      <c r="X66" s="88">
        <f>'Request #29'!Y66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#29'!AA66,"OK","Alert,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#29'!V67,"OK","Send in Change Order")</f>
        <v>OK</v>
      </c>
      <c r="S67" s="85">
        <v>56</v>
      </c>
      <c r="T67" s="79"/>
      <c r="U67" s="218">
        <f>'Request #29'!U67</f>
        <v>0</v>
      </c>
      <c r="V67" s="87">
        <f>'Request #29'!V67</f>
        <v>0</v>
      </c>
      <c r="W67" s="88">
        <f>SUMIF(F7:F79,56,E7:E79)</f>
        <v>0</v>
      </c>
      <c r="X67" s="88">
        <f>'Request #29'!Y67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#29'!AA67,"OK","Alert,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#29'!V68,"OK","Send in Change Order")</f>
        <v>OK</v>
      </c>
      <c r="S68" s="316" t="s">
        <v>60</v>
      </c>
      <c r="T68" s="317"/>
      <c r="U68" s="224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#29'!AA68,"OK","Alert,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25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226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27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28" t="e">
        <f>V72/V68</f>
        <v>#DIV/0!</v>
      </c>
      <c r="V72" s="88">
        <f>V68-V74-V73</f>
        <v>0</v>
      </c>
      <c r="W72" s="87">
        <v>0</v>
      </c>
      <c r="X72" s="168">
        <f>'Request #29'!Y72</f>
        <v>0</v>
      </c>
      <c r="Y72" s="168">
        <f t="shared" ref="Y72:Y73" si="8">W72+X72</f>
        <v>0</v>
      </c>
      <c r="Z72" s="16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#29'!V73,"OK","Send in Change Order")</f>
        <v>OK</v>
      </c>
      <c r="S73" s="86" t="s">
        <v>95</v>
      </c>
      <c r="T73" s="114"/>
      <c r="U73" s="228" t="e">
        <f>V73/V68</f>
        <v>#DIV/0!</v>
      </c>
      <c r="V73" s="87">
        <f>'Request #29'!V73</f>
        <v>0</v>
      </c>
      <c r="W73" s="87">
        <v>0</v>
      </c>
      <c r="X73" s="168">
        <f>'Request #29'!Y73</f>
        <v>0</v>
      </c>
      <c r="Y73" s="168">
        <f t="shared" si="8"/>
        <v>0</v>
      </c>
      <c r="Z73" s="16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#29'!V74,"OK","Send in Change Order")</f>
        <v>OK</v>
      </c>
      <c r="S74" s="120" t="s">
        <v>96</v>
      </c>
      <c r="T74" s="121"/>
      <c r="U74" s="228" t="e">
        <f>V74/V68</f>
        <v>#DIV/0!</v>
      </c>
      <c r="V74" s="87">
        <f>'Request #29'!V74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221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30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30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31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221"/>
      <c r="V80" s="55"/>
      <c r="W80" s="55"/>
      <c r="X80" s="138"/>
      <c r="Y80" s="45" t="s">
        <v>108</v>
      </c>
      <c r="Z80" s="43"/>
      <c r="AA80" s="88">
        <f>'Request #29'!AA79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30</v>
      </c>
      <c r="V87" s="55"/>
      <c r="W87" s="55"/>
      <c r="X87" s="138"/>
      <c r="Y87" s="45" t="s">
        <v>108</v>
      </c>
      <c r="Z87" s="43"/>
      <c r="AA87" s="88">
        <f>'Request #29'!AA86</f>
        <v>0</v>
      </c>
      <c r="AB87" s="110"/>
    </row>
    <row r="88" spans="1:28" ht="30" customHeight="1" thickBot="1" x14ac:dyDescent="0.35">
      <c r="S88" s="55"/>
      <c r="T88" s="55"/>
      <c r="U88" s="221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221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221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221"/>
      <c r="V91" s="55"/>
      <c r="W91" s="55"/>
      <c r="X91" s="55"/>
    </row>
    <row r="92" spans="1:28" ht="30" customHeight="1" x14ac:dyDescent="0.3">
      <c r="S92" s="55"/>
      <c r="T92" s="55"/>
      <c r="U92" s="221"/>
      <c r="V92" s="55"/>
      <c r="W92" s="55"/>
      <c r="X92" s="55"/>
    </row>
    <row r="93" spans="1:28" ht="30" customHeight="1" x14ac:dyDescent="0.3">
      <c r="S93" s="55"/>
      <c r="T93" s="55"/>
      <c r="U93" s="221"/>
      <c r="V93" s="55"/>
      <c r="W93" s="55"/>
      <c r="X93" s="55"/>
    </row>
    <row r="94" spans="1:28" ht="30" customHeight="1" x14ac:dyDescent="0.3">
      <c r="S94" s="55"/>
      <c r="T94" s="55"/>
      <c r="U94" s="221"/>
      <c r="V94" s="55"/>
      <c r="W94" s="55"/>
      <c r="X94" s="55"/>
    </row>
    <row r="95" spans="1:28" ht="30" customHeight="1" x14ac:dyDescent="0.3">
      <c r="S95" s="55"/>
      <c r="T95" s="55"/>
      <c r="U95" s="221"/>
      <c r="V95" s="55"/>
      <c r="W95" s="55"/>
      <c r="X95" s="55"/>
    </row>
    <row r="96" spans="1:28" ht="30" customHeight="1" x14ac:dyDescent="0.3">
      <c r="S96" s="55"/>
      <c r="T96" s="55"/>
      <c r="U96" s="221"/>
      <c r="V96" s="55"/>
      <c r="W96" s="55"/>
      <c r="X96" s="55"/>
    </row>
    <row r="97" spans="15:24" ht="30" customHeight="1" x14ac:dyDescent="0.3">
      <c r="S97" s="55"/>
      <c r="T97" s="55"/>
      <c r="U97" s="221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1yFnGWufr3KzR+uDfkWM5RtuPzvdZTKxsTcDK803kmfctVi/DCjkqfh0pyT4DOQ39AdEuMg47j8AZaJDMIWmQw==" saltValue="NLnKXL38sllyNYHk9xQneA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169" priority="10" operator="containsText" text="Change">
      <formula>NOT(ISERROR(SEARCH("Change",R1)))</formula>
    </cfRule>
  </conditionalFormatting>
  <conditionalFormatting sqref="R45:R48">
    <cfRule type="cellIs" dxfId="168" priority="7" operator="equal">
      <formula>"Send in Change Order"</formula>
    </cfRule>
  </conditionalFormatting>
  <conditionalFormatting sqref="W68">
    <cfRule type="cellIs" dxfId="167" priority="2" operator="notEqual">
      <formula>$E$82</formula>
    </cfRule>
    <cfRule type="cellIs" dxfId="166" priority="3" operator="greaterThan">
      <formula>$E$82</formula>
    </cfRule>
    <cfRule type="cellIs" dxfId="165" priority="4" operator="notEqual">
      <formula>$E$82</formula>
    </cfRule>
  </conditionalFormatting>
  <conditionalFormatting sqref="Z12:Z44">
    <cfRule type="cellIs" dxfId="164" priority="8" operator="lessThan">
      <formula>0</formula>
    </cfRule>
  </conditionalFormatting>
  <conditionalFormatting sqref="Z49:Z68">
    <cfRule type="cellIs" dxfId="163" priority="5" operator="lessThan">
      <formula>0</formula>
    </cfRule>
  </conditionalFormatting>
  <conditionalFormatting sqref="AA68">
    <cfRule type="cellIs" dxfId="162" priority="1" operator="notEqual">
      <formula>$O$82</formula>
    </cfRule>
  </conditionalFormatting>
  <conditionalFormatting sqref="AB1:AB1048576">
    <cfRule type="containsText" dxfId="161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2" manualBreakCount="12">
    <brk id="6" max="88" man="1"/>
    <brk id="10" max="1048575" man="1"/>
    <brk id="16" max="88" man="1"/>
    <brk id="18" max="1048575" man="1"/>
    <brk id="27" max="88" man="1"/>
    <brk id="29" max="1048575" man="1"/>
    <brk id="51" max="1048575" man="1"/>
    <brk id="52" max="1048575" man="1"/>
    <brk id="99" max="1048575" man="1"/>
    <brk id="101" max="1048575" man="1"/>
    <brk id="110" max="1048575" man="1"/>
    <brk id="111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2187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6640625" style="50" customWidth="1"/>
    <col min="19" max="19" width="6.44140625" style="39" customWidth="1"/>
    <col min="20" max="20" width="30.77734375" style="39" customWidth="1"/>
    <col min="21" max="21" width="17.77734375" style="219" customWidth="1"/>
    <col min="22" max="27" width="18.88671875" style="39" customWidth="1"/>
    <col min="28" max="28" width="25.7773437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220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31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220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220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221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22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23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31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218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#30'!V12,"OK","Send in Change Order")</f>
        <v>OK</v>
      </c>
      <c r="S12" s="85">
        <v>1</v>
      </c>
      <c r="T12" s="86" t="str">
        <f>'Request #30'!T12</f>
        <v>Land/Site Grading &amp; Improv.</v>
      </c>
      <c r="U12" s="218">
        <f>'Request #30'!U12</f>
        <v>0</v>
      </c>
      <c r="V12" s="87">
        <f>'Request #30'!V12</f>
        <v>0</v>
      </c>
      <c r="W12" s="88">
        <f>SUMIF(F7:F79,1,E7:E79)</f>
        <v>0</v>
      </c>
      <c r="X12" s="88">
        <f>'Request #30'!Y12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#30'!AA12,"OK","Alert,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#30'!V13,"OK","Send in Change Order")</f>
        <v>OK</v>
      </c>
      <c r="S13" s="85">
        <v>2</v>
      </c>
      <c r="T13" s="86" t="str">
        <f>'Request #30'!T13</f>
        <v xml:space="preserve">General Contract </v>
      </c>
      <c r="U13" s="218">
        <f>'Request #30'!U13</f>
        <v>0</v>
      </c>
      <c r="V13" s="87">
        <f>'Request #30'!V13</f>
        <v>0</v>
      </c>
      <c r="W13" s="88">
        <f>SUMIF(F7:F79,2,E7:E79)</f>
        <v>0</v>
      </c>
      <c r="X13" s="88">
        <f>'Request #30'!Y13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#30'!AA13,"OK","Alert,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#30'!V14,"OK","Send in Change Order")</f>
        <v>OK</v>
      </c>
      <c r="S14" s="85">
        <v>3</v>
      </c>
      <c r="T14" s="86" t="str">
        <f>'Request #30'!T14</f>
        <v>Designer Contract</v>
      </c>
      <c r="U14" s="218">
        <f>'Request #30'!U14</f>
        <v>0</v>
      </c>
      <c r="V14" s="87">
        <f>'Request #30'!V14</f>
        <v>0</v>
      </c>
      <c r="W14" s="88">
        <f>SUMIF(F7:F79,3,E7:E79)</f>
        <v>0</v>
      </c>
      <c r="X14" s="88">
        <f>'Request #30'!Y14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#30'!AA14,"OK","Alert,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#30'!V15,"OK","Send in Change Order")</f>
        <v>OK</v>
      </c>
      <c r="S15" s="85">
        <v>4</v>
      </c>
      <c r="T15" s="86" t="str">
        <f>'Request #30'!T15</f>
        <v>Designer Reimbursables</v>
      </c>
      <c r="U15" s="218">
        <f>'Request #30'!U15</f>
        <v>0</v>
      </c>
      <c r="V15" s="87">
        <f>'Request #30'!V15</f>
        <v>0</v>
      </c>
      <c r="W15" s="88">
        <f>SUMIF(F7:F79,4,E7:E79)</f>
        <v>0</v>
      </c>
      <c r="X15" s="88">
        <f>'Request #30'!Y15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#30'!AA15,"OK","Alert,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#30'!V16,"OK","Send in Change Order")</f>
        <v>OK</v>
      </c>
      <c r="S16" s="85">
        <v>5</v>
      </c>
      <c r="T16" s="86" t="str">
        <f>'Request #30'!T16</f>
        <v>Other Contracts</v>
      </c>
      <c r="U16" s="218">
        <f>'Request #30'!U16</f>
        <v>0</v>
      </c>
      <c r="V16" s="87">
        <f>'Request #30'!V16</f>
        <v>0</v>
      </c>
      <c r="W16" s="88">
        <f>SUMIF(F7:F79,5,E7:E79)</f>
        <v>0</v>
      </c>
      <c r="X16" s="88">
        <f>'Request #30'!Y16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#30'!AA16,"OK","Alert,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#30'!V17,"OK","Send in Change Order")</f>
        <v>OK</v>
      </c>
      <c r="S17" s="85">
        <v>6</v>
      </c>
      <c r="T17" s="86" t="str">
        <f>'Request #30'!T17</f>
        <v>Other Contracts</v>
      </c>
      <c r="U17" s="218">
        <f>'Request #30'!U17</f>
        <v>0</v>
      </c>
      <c r="V17" s="87">
        <f>'Request #30'!V17</f>
        <v>0</v>
      </c>
      <c r="W17" s="88">
        <f>SUMIF(F7:F79,6,E7:E79)</f>
        <v>0</v>
      </c>
      <c r="X17" s="88">
        <f>'Request #30'!Y17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#30'!AA17,"OK","Alert,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#30'!V18,"OK","Send in Change Order")</f>
        <v>OK</v>
      </c>
      <c r="S18" s="85">
        <v>7</v>
      </c>
      <c r="T18" s="86" t="str">
        <f>'Request #30'!T18</f>
        <v>Other Contracts</v>
      </c>
      <c r="U18" s="218">
        <f>'Request #30'!U18</f>
        <v>0</v>
      </c>
      <c r="V18" s="87">
        <f>'Request #30'!V18</f>
        <v>0</v>
      </c>
      <c r="W18" s="88">
        <f>SUMIF(F7:F79,7,E7:E79)</f>
        <v>0</v>
      </c>
      <c r="X18" s="88">
        <f>'Request #30'!Y18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#30'!AA18,"OK","Alert,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#30'!V19,"OK","Send in Change Order")</f>
        <v>OK</v>
      </c>
      <c r="S19" s="85">
        <v>8</v>
      </c>
      <c r="T19" s="86" t="str">
        <f>'Request #30'!T19</f>
        <v>Other Contracts</v>
      </c>
      <c r="U19" s="218">
        <f>'Request #30'!U19</f>
        <v>0</v>
      </c>
      <c r="V19" s="87">
        <f>'Request #30'!V19</f>
        <v>0</v>
      </c>
      <c r="W19" s="88">
        <f>SUMIF(F7:F79,8,E7:E79)</f>
        <v>0</v>
      </c>
      <c r="X19" s="88">
        <f>'Request #30'!Y19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#30'!AA19,"OK","Alert,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#30'!V20,"OK","Send in Change Order")</f>
        <v>OK</v>
      </c>
      <c r="S20" s="85">
        <v>9</v>
      </c>
      <c r="T20" s="86" t="str">
        <f>'Request #30'!T20</f>
        <v>Other Contracts</v>
      </c>
      <c r="U20" s="218">
        <f>'Request #30'!U20</f>
        <v>0</v>
      </c>
      <c r="V20" s="87">
        <f>'Request #30'!V20</f>
        <v>0</v>
      </c>
      <c r="W20" s="88">
        <f>SUMIF(F7:F79,9,E7:E79)</f>
        <v>0</v>
      </c>
      <c r="X20" s="88">
        <f>'Request #30'!Y20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#30'!AA20,"OK","Alert,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#30'!V21,"OK","Send in Change Order")</f>
        <v>OK</v>
      </c>
      <c r="S21" s="85">
        <v>10</v>
      </c>
      <c r="T21" s="86" t="str">
        <f>'Request #30'!T21</f>
        <v>Other Contracts</v>
      </c>
      <c r="U21" s="218">
        <f>'Request #30'!U21</f>
        <v>0</v>
      </c>
      <c r="V21" s="87">
        <f>'Request #30'!V21</f>
        <v>0</v>
      </c>
      <c r="W21" s="88">
        <f>SUMIF(F7:F79,10,E7:E79)</f>
        <v>0</v>
      </c>
      <c r="X21" s="88">
        <f>'Request #30'!Y21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#30'!AA21,"OK","Alert,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#30'!V22,"OK","Send in Change Order")</f>
        <v>OK</v>
      </c>
      <c r="S22" s="85">
        <v>11</v>
      </c>
      <c r="T22" s="86" t="str">
        <f>'Request #30'!T22</f>
        <v>Other Contracts</v>
      </c>
      <c r="U22" s="218">
        <f>'Request #30'!U22</f>
        <v>0</v>
      </c>
      <c r="V22" s="87">
        <f>'Request #30'!V22</f>
        <v>0</v>
      </c>
      <c r="W22" s="88">
        <f>SUMIF(F7:F79,11,E7:E79)</f>
        <v>0</v>
      </c>
      <c r="X22" s="88">
        <f>'Request #30'!Y22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#30'!AA22,"OK","Alert,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#30'!V23,"OK","Send in Change Order")</f>
        <v>OK</v>
      </c>
      <c r="S23" s="85">
        <v>12</v>
      </c>
      <c r="T23" s="86" t="str">
        <f>'Request #30'!T23</f>
        <v>Other Contracts</v>
      </c>
      <c r="U23" s="218">
        <f>'Request #30'!U23</f>
        <v>0</v>
      </c>
      <c r="V23" s="87">
        <f>'Request #30'!V23</f>
        <v>0</v>
      </c>
      <c r="W23" s="88">
        <f>SUMIF(F7:F79,12,E7:E79)</f>
        <v>0</v>
      </c>
      <c r="X23" s="88">
        <f>'Request #30'!Y23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#30'!AA23,"OK","Alert,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#30'!V24,"OK","Send in Change Order")</f>
        <v>OK</v>
      </c>
      <c r="S24" s="85">
        <v>13</v>
      </c>
      <c r="T24" s="86" t="str">
        <f>'Request #30'!T24</f>
        <v>Other Contracts</v>
      </c>
      <c r="U24" s="218">
        <f>'Request #30'!U24</f>
        <v>0</v>
      </c>
      <c r="V24" s="87">
        <f>'Request #30'!V24</f>
        <v>0</v>
      </c>
      <c r="W24" s="88">
        <f>SUMIF(F7:F79,13,E7:E79)</f>
        <v>0</v>
      </c>
      <c r="X24" s="88">
        <f>'Request #30'!Y24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#30'!AA24,"OK","Alert,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#30'!V25,"OK","Send in Change Order")</f>
        <v>OK</v>
      </c>
      <c r="S25" s="85">
        <v>14</v>
      </c>
      <c r="T25" s="86" t="str">
        <f>'Request #30'!T25</f>
        <v>Other Contracts</v>
      </c>
      <c r="U25" s="218">
        <f>'Request #30'!U25</f>
        <v>0</v>
      </c>
      <c r="V25" s="87">
        <f>'Request #30'!V25</f>
        <v>0</v>
      </c>
      <c r="W25" s="88">
        <f>SUMIF(F7:F79,14,E7:E79)</f>
        <v>0</v>
      </c>
      <c r="X25" s="88">
        <f>'Request #30'!Y25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#30'!AA25,"OK","Alert,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#30'!V26,"OK","Send in Change Order")</f>
        <v>OK</v>
      </c>
      <c r="S26" s="85">
        <v>15</v>
      </c>
      <c r="T26" s="86" t="str">
        <f>'Request #30'!T26</f>
        <v>Other Contracts</v>
      </c>
      <c r="U26" s="218">
        <f>'Request #30'!U26</f>
        <v>0</v>
      </c>
      <c r="V26" s="87">
        <f>'Request #30'!V26</f>
        <v>0</v>
      </c>
      <c r="W26" s="88">
        <f>SUMIF(F7:F79,15,E7:E79)</f>
        <v>0</v>
      </c>
      <c r="X26" s="88">
        <f>'Request #30'!Y26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#30'!AA26,"OK","Alert,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#30'!V27,"OK","Send in Change Order")</f>
        <v>OK</v>
      </c>
      <c r="S27" s="85">
        <v>16</v>
      </c>
      <c r="T27" s="86" t="str">
        <f>'Request #30'!T27</f>
        <v>Other Contracts</v>
      </c>
      <c r="U27" s="218">
        <f>'Request #30'!U27</f>
        <v>0</v>
      </c>
      <c r="V27" s="87">
        <f>'Request #30'!V27</f>
        <v>0</v>
      </c>
      <c r="W27" s="88">
        <f>SUMIF(F7:F79,16,E7:E79)</f>
        <v>0</v>
      </c>
      <c r="X27" s="88">
        <f>'Request #30'!Y27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#30'!AA27,"OK","Alert,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#30'!V28,"OK","Send in Change Order")</f>
        <v>OK</v>
      </c>
      <c r="S28" s="85">
        <v>17</v>
      </c>
      <c r="T28" s="86" t="str">
        <f>'Request #30'!T28</f>
        <v>Other Contracts</v>
      </c>
      <c r="U28" s="218">
        <f>'Request #30'!U28</f>
        <v>0</v>
      </c>
      <c r="V28" s="87">
        <f>'Request #30'!V28</f>
        <v>0</v>
      </c>
      <c r="W28" s="88">
        <f>SUMIF(F7:F79,17,E7:E79)</f>
        <v>0</v>
      </c>
      <c r="X28" s="88">
        <f>'Request #30'!Y28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#30'!AA28,"OK","Alert,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#30'!V29,"OK","Send in Change Order")</f>
        <v>OK</v>
      </c>
      <c r="S29" s="85">
        <v>18</v>
      </c>
      <c r="T29" s="86" t="str">
        <f>'Request #30'!T29</f>
        <v>Other Contracts</v>
      </c>
      <c r="U29" s="218">
        <f>'Request #30'!U29</f>
        <v>0</v>
      </c>
      <c r="V29" s="87">
        <f>'Request #30'!V29</f>
        <v>0</v>
      </c>
      <c r="W29" s="88">
        <f>SUMIF(F7:F79,18,E7:E79)</f>
        <v>0</v>
      </c>
      <c r="X29" s="88">
        <f>'Request #30'!Y29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#30'!AA29,"OK","Alert,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#30'!V30,"OK","Send in Change Order")</f>
        <v>OK</v>
      </c>
      <c r="S30" s="85">
        <v>19</v>
      </c>
      <c r="T30" s="86" t="str">
        <f>'Request #30'!T30</f>
        <v>Other Contracts</v>
      </c>
      <c r="U30" s="218">
        <f>'Request #30'!U30</f>
        <v>0</v>
      </c>
      <c r="V30" s="87">
        <f>'Request #30'!V30</f>
        <v>0</v>
      </c>
      <c r="W30" s="88">
        <f>SUMIF(F7:F79,19,E7:E79)</f>
        <v>0</v>
      </c>
      <c r="X30" s="88">
        <f>'Request #30'!Y30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#30'!AA30,"OK","Alert,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#30'!V31,"OK","Send in Change Order")</f>
        <v>OK</v>
      </c>
      <c r="S31" s="85">
        <v>20</v>
      </c>
      <c r="T31" s="86" t="str">
        <f>'Request #30'!T31</f>
        <v>Other Contracts</v>
      </c>
      <c r="U31" s="218">
        <f>'Request #30'!U31</f>
        <v>0</v>
      </c>
      <c r="V31" s="87">
        <f>'Request #30'!V31</f>
        <v>0</v>
      </c>
      <c r="W31" s="88">
        <f>SUMIF(F7:F79,20,E7:E79)</f>
        <v>0</v>
      </c>
      <c r="X31" s="88">
        <f>'Request #30'!Y31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#30'!AA31,"OK","Alert,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#30'!V32,"OK","Send in Change Order")</f>
        <v>OK</v>
      </c>
      <c r="S32" s="85">
        <v>21</v>
      </c>
      <c r="T32" s="86" t="str">
        <f>'Request #30'!T32</f>
        <v>Other Contracts</v>
      </c>
      <c r="U32" s="218">
        <f>'Request #30'!U32</f>
        <v>0</v>
      </c>
      <c r="V32" s="87">
        <f>'Request #30'!V32</f>
        <v>0</v>
      </c>
      <c r="W32" s="88">
        <f>SUMIF(F7:F79,21,E7:E79)</f>
        <v>0</v>
      </c>
      <c r="X32" s="88">
        <f>'Request #30'!Y32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#30'!AA32,"OK","Alert,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#30'!V33,"OK","Send in Change Order")</f>
        <v>OK</v>
      </c>
      <c r="S33" s="85">
        <v>22</v>
      </c>
      <c r="T33" s="86" t="str">
        <f>'Request #30'!T33</f>
        <v>Other Contracts</v>
      </c>
      <c r="U33" s="218">
        <f>'Request #30'!U33</f>
        <v>0</v>
      </c>
      <c r="V33" s="87">
        <f>'Request #30'!V33</f>
        <v>0</v>
      </c>
      <c r="W33" s="88">
        <f>SUMIF(F7:F79,22,E7:E79)</f>
        <v>0</v>
      </c>
      <c r="X33" s="88">
        <f>'Request #30'!Y33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#30'!AA33,"OK","Alert,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#30'!V34,"OK","Send in Change Order")</f>
        <v>OK</v>
      </c>
      <c r="S34" s="85">
        <v>23</v>
      </c>
      <c r="T34" s="86" t="str">
        <f>'Request #30'!T34</f>
        <v>Other Contracts</v>
      </c>
      <c r="U34" s="218">
        <f>'Request #30'!U34</f>
        <v>0</v>
      </c>
      <c r="V34" s="87">
        <f>'Request #30'!V34</f>
        <v>0</v>
      </c>
      <c r="W34" s="88">
        <f>SUMIF(F7:F79,23,E7:E79)</f>
        <v>0</v>
      </c>
      <c r="X34" s="88">
        <f>'Request #30'!Y34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#30'!AA34,"OK","Alert,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#30'!V35,"OK","Send in Change Order")</f>
        <v>OK</v>
      </c>
      <c r="S35" s="85">
        <v>24</v>
      </c>
      <c r="T35" s="86" t="str">
        <f>'Request #30'!T35</f>
        <v>Other Contracts</v>
      </c>
      <c r="U35" s="218">
        <f>'Request #30'!U35</f>
        <v>0</v>
      </c>
      <c r="V35" s="87">
        <f>'Request #30'!V35</f>
        <v>0</v>
      </c>
      <c r="W35" s="88">
        <f>SUMIF(F7:F79,24,E7:E79)</f>
        <v>0</v>
      </c>
      <c r="X35" s="88">
        <f>'Request #30'!Y35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#30'!AA35,"OK","Alert,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#30'!V36,"OK","Send in Change Order")</f>
        <v>OK</v>
      </c>
      <c r="S36" s="85">
        <v>25</v>
      </c>
      <c r="T36" s="86" t="str">
        <f>'Request #30'!T36</f>
        <v>Other Contracts</v>
      </c>
      <c r="U36" s="218">
        <f>'Request #30'!U36</f>
        <v>0</v>
      </c>
      <c r="V36" s="87">
        <f>'Request #30'!V36</f>
        <v>0</v>
      </c>
      <c r="W36" s="88">
        <f>SUMIF(F7:F79,25,E7:E79)</f>
        <v>0</v>
      </c>
      <c r="X36" s="88">
        <f>'Request #30'!Y36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#30'!AA36,"OK","Alert,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#30'!V37,"OK","Send in Change Order")</f>
        <v>OK</v>
      </c>
      <c r="S37" s="85">
        <v>26</v>
      </c>
      <c r="T37" s="86" t="str">
        <f>'Request #30'!T37</f>
        <v>Other Fees</v>
      </c>
      <c r="U37" s="218">
        <f>'Request #30'!U37</f>
        <v>0</v>
      </c>
      <c r="V37" s="87">
        <f>'Request #30'!V37</f>
        <v>0</v>
      </c>
      <c r="W37" s="88">
        <f>SUMIF(F7:F79,26,E7:E79)</f>
        <v>0</v>
      </c>
      <c r="X37" s="88">
        <f>'Request #30'!Y37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#30'!AA37,"OK","Alert,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#30'!V38,"OK","Send in Change Order")</f>
        <v>OK</v>
      </c>
      <c r="S38" s="85">
        <v>27</v>
      </c>
      <c r="T38" s="86" t="str">
        <f>'Request #30'!T38</f>
        <v>Other Fees</v>
      </c>
      <c r="U38" s="218">
        <f>'Request #30'!U38</f>
        <v>0</v>
      </c>
      <c r="V38" s="87">
        <f>'Request #30'!V38</f>
        <v>0</v>
      </c>
      <c r="W38" s="88">
        <f>SUMIF(F7:F79,27,E7:E79)</f>
        <v>0</v>
      </c>
      <c r="X38" s="88">
        <f>'Request #30'!Y38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#30'!AA38,"OK","Alert,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#30'!V39,"OK","Send in Change Order")</f>
        <v>OK</v>
      </c>
      <c r="S39" s="85">
        <v>28</v>
      </c>
      <c r="T39" s="86" t="str">
        <f>'Request #30'!T39</f>
        <v>Other Fees</v>
      </c>
      <c r="U39" s="218">
        <f>'Request #30'!U39</f>
        <v>0</v>
      </c>
      <c r="V39" s="87">
        <f>'Request #30'!V39</f>
        <v>0</v>
      </c>
      <c r="W39" s="88">
        <f>SUMIF(F7:F79,28,E7:E79)</f>
        <v>0</v>
      </c>
      <c r="X39" s="88">
        <f>'Request #30'!Y39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#30'!AA39,"OK","Alert,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#30'!V40,"OK","Send in Change Order")</f>
        <v>OK</v>
      </c>
      <c r="S40" s="85">
        <v>29</v>
      </c>
      <c r="T40" s="86" t="str">
        <f>'Request #30'!T40</f>
        <v>Other Fees</v>
      </c>
      <c r="U40" s="218">
        <f>'Request #30'!U40</f>
        <v>0</v>
      </c>
      <c r="V40" s="87">
        <f>'Request #30'!V40</f>
        <v>0</v>
      </c>
      <c r="W40" s="88">
        <f>SUMIF(F7:F79,29,E7:E79)</f>
        <v>0</v>
      </c>
      <c r="X40" s="88">
        <f>'Request #30'!Y40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#30'!AA40,"OK","Alert,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#30'!V41,"OK","Send in Change Order")</f>
        <v>OK</v>
      </c>
      <c r="S41" s="85">
        <v>30</v>
      </c>
      <c r="T41" s="86" t="str">
        <f>'Request #30'!T41</f>
        <v>Other Fees</v>
      </c>
      <c r="U41" s="218">
        <f>'Request #30'!U41</f>
        <v>0</v>
      </c>
      <c r="V41" s="87">
        <f>'Request #30'!V41</f>
        <v>0</v>
      </c>
      <c r="W41" s="88">
        <f>SUMIF(F7:F79,30,E7:E79)</f>
        <v>0</v>
      </c>
      <c r="X41" s="88">
        <f>'Request #30'!Y41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#30'!AA41,"OK","Alert,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#30'!V42,"OK","Send in Change Order")</f>
        <v>OK</v>
      </c>
      <c r="S42" s="85">
        <v>31</v>
      </c>
      <c r="T42" s="86" t="str">
        <f>'Request #30'!T42</f>
        <v>Other Fees</v>
      </c>
      <c r="U42" s="218">
        <f>'Request #30'!U42</f>
        <v>0</v>
      </c>
      <c r="V42" s="87">
        <f>'Request #30'!V42</f>
        <v>0</v>
      </c>
      <c r="W42" s="88">
        <f>SUMIF(F7:F79,31,E7:E79)</f>
        <v>0</v>
      </c>
      <c r="X42" s="88">
        <f>'Request #30'!Y42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#30'!AA42,"OK","Alert,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#30'!V43,"OK","Send in Change Order")</f>
        <v>OK</v>
      </c>
      <c r="S43" s="85">
        <v>32</v>
      </c>
      <c r="T43" s="86" t="str">
        <f>'Request #30'!T43</f>
        <v>Other Fees</v>
      </c>
      <c r="U43" s="218">
        <f>'Request #30'!U43</f>
        <v>0</v>
      </c>
      <c r="V43" s="87">
        <f>'Request #30'!V43</f>
        <v>0</v>
      </c>
      <c r="W43" s="88">
        <f>SUMIF(F7:F79,32,E7:E79)</f>
        <v>0</v>
      </c>
      <c r="X43" s="88">
        <f>'Request #30'!Y43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#30'!AA43,"OK","Alert,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#30'!V44,"OK","Send in Change Order")</f>
        <v>OK</v>
      </c>
      <c r="S44" s="85">
        <v>33</v>
      </c>
      <c r="T44" s="86" t="str">
        <f>'Request #30'!T44</f>
        <v>Other Fees</v>
      </c>
      <c r="U44" s="218">
        <f>'Request #30'!U44</f>
        <v>0</v>
      </c>
      <c r="V44" s="87">
        <f>'Request #30'!V44</f>
        <v>0</v>
      </c>
      <c r="W44" s="88">
        <f>SUMIF(F7:F79,33,E7:E79)</f>
        <v>0</v>
      </c>
      <c r="X44" s="88">
        <f>'Request #30'!Y44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#30'!AA44,"OK","Alert,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#30'!V49,"OK","Send in Change Order")</f>
        <v>OK</v>
      </c>
      <c r="S49" s="85">
        <v>38</v>
      </c>
      <c r="T49" s="86" t="str">
        <f>'Request #30'!T49</f>
        <v>Other Fees</v>
      </c>
      <c r="U49" s="218">
        <f>'Request #30'!U49</f>
        <v>0</v>
      </c>
      <c r="V49" s="87">
        <f>'Request #30'!V49</f>
        <v>0</v>
      </c>
      <c r="W49" s="88">
        <f>SUMIF(F7:F79,38,E7:E79)</f>
        <v>0</v>
      </c>
      <c r="X49" s="88">
        <f>'Request #30'!Y49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#30'!AA49,"OK","Alert,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#30'!V50,"OK","Send in Change Order")</f>
        <v>OK</v>
      </c>
      <c r="S50" s="85">
        <v>39</v>
      </c>
      <c r="T50" s="86" t="str">
        <f>'Request #30'!T50</f>
        <v>Other Fees</v>
      </c>
      <c r="U50" s="218">
        <f>'Request #30'!U50</f>
        <v>0</v>
      </c>
      <c r="V50" s="87">
        <f>'Request #30'!V50</f>
        <v>0</v>
      </c>
      <c r="W50" s="88">
        <f>SUMIF(F7:F79,39,E7:E79)</f>
        <v>0</v>
      </c>
      <c r="X50" s="88">
        <f>'Request #30'!Y50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#30'!AA50,"OK","Alert,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#30'!V51,"OK","Send in Change Order")</f>
        <v>OK</v>
      </c>
      <c r="S51" s="85">
        <v>40</v>
      </c>
      <c r="T51" s="86" t="str">
        <f>'Request #30'!T51</f>
        <v>Other Fees</v>
      </c>
      <c r="U51" s="218">
        <f>'Request #30'!U51</f>
        <v>0</v>
      </c>
      <c r="V51" s="87">
        <f>'Request #30'!V51</f>
        <v>0</v>
      </c>
      <c r="W51" s="88">
        <f>SUMIF(F7:F79,40,E7:E79)</f>
        <v>0</v>
      </c>
      <c r="X51" s="88">
        <f>'Request #30'!Y51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#30'!AA51,"OK","Alert,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#30'!V52,"OK","Send in Change Order")</f>
        <v>OK</v>
      </c>
      <c r="S52" s="85">
        <v>41</v>
      </c>
      <c r="T52" s="86" t="str">
        <f>'Request #30'!T52</f>
        <v>Other Fees</v>
      </c>
      <c r="U52" s="218">
        <f>'Request #30'!U52</f>
        <v>0</v>
      </c>
      <c r="V52" s="87">
        <f>'Request #30'!V52</f>
        <v>0</v>
      </c>
      <c r="W52" s="88">
        <f>SUMIF(F7:F79,41,E7:E79)</f>
        <v>0</v>
      </c>
      <c r="X52" s="88">
        <f>'Request #30'!Y52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#30'!AA52,"OK","Alert,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#30'!V53,"OK","Send in Change Order")</f>
        <v>OK</v>
      </c>
      <c r="S53" s="85">
        <v>42</v>
      </c>
      <c r="T53" s="86" t="str">
        <f>'Request #30'!T53</f>
        <v>Other Fees</v>
      </c>
      <c r="U53" s="218">
        <f>'Request #30'!U53</f>
        <v>0</v>
      </c>
      <c r="V53" s="87">
        <f>'Request #30'!V53</f>
        <v>0</v>
      </c>
      <c r="W53" s="88">
        <f>SUMIF(F7:F79,42,E7:E79)</f>
        <v>0</v>
      </c>
      <c r="X53" s="88">
        <f>'Request #30'!Y53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#30'!AA53,"OK","Alert,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#30'!V54,"OK","Send in Change Order")</f>
        <v>OK</v>
      </c>
      <c r="S54" s="85">
        <v>43</v>
      </c>
      <c r="T54" s="86" t="str">
        <f>'Request #30'!T54</f>
        <v>Other Fees</v>
      </c>
      <c r="U54" s="218">
        <f>'Request #30'!U54</f>
        <v>0</v>
      </c>
      <c r="V54" s="87">
        <f>'Request #30'!V54</f>
        <v>0</v>
      </c>
      <c r="W54" s="88">
        <f>SUMIF(F7:F79,43,E7:E79)</f>
        <v>0</v>
      </c>
      <c r="X54" s="88">
        <f>'Request #30'!Y54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#30'!AA54,"OK","Alert,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#30'!V55,"OK","Send in Change Order")</f>
        <v>OK</v>
      </c>
      <c r="S55" s="85">
        <v>44</v>
      </c>
      <c r="T55" s="86" t="str">
        <f>'Request #30'!T55</f>
        <v>Other Fees</v>
      </c>
      <c r="U55" s="218">
        <f>'Request #30'!U55</f>
        <v>0</v>
      </c>
      <c r="V55" s="87">
        <f>'Request #30'!V55</f>
        <v>0</v>
      </c>
      <c r="W55" s="88">
        <f>SUMIF(F7:F79,44,E7:E79)</f>
        <v>0</v>
      </c>
      <c r="X55" s="88">
        <f>'Request #30'!Y55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#30'!AA55,"OK","Alert,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#30'!V56,"OK","Send in Change Order")</f>
        <v>OK</v>
      </c>
      <c r="S56" s="85">
        <v>45</v>
      </c>
      <c r="T56" s="86" t="str">
        <f>'Request #30'!T56</f>
        <v>Other Fees</v>
      </c>
      <c r="U56" s="218">
        <f>'Request #30'!U56</f>
        <v>0</v>
      </c>
      <c r="V56" s="87">
        <f>'Request #30'!V56</f>
        <v>0</v>
      </c>
      <c r="W56" s="88">
        <f>SUMIF(F7:F79,45,E7:E79)</f>
        <v>0</v>
      </c>
      <c r="X56" s="88">
        <f>'Request #30'!Y56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#30'!AA56,"OK","Alert,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#30'!V57,"OK","Send in Change Order")</f>
        <v>OK</v>
      </c>
      <c r="S57" s="85">
        <v>46</v>
      </c>
      <c r="T57" s="86" t="str">
        <f>'Request #30'!T57</f>
        <v>Other Fees</v>
      </c>
      <c r="U57" s="218">
        <f>'Request #30'!U57</f>
        <v>0</v>
      </c>
      <c r="V57" s="87">
        <f>'Request #30'!V57</f>
        <v>0</v>
      </c>
      <c r="W57" s="88">
        <f>SUMIF(F7:F79,46,E7:E79)</f>
        <v>0</v>
      </c>
      <c r="X57" s="88">
        <f>'Request #30'!Y57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#30'!AA57,"OK","Alert,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#30'!V58,"OK","Send in Change Order")</f>
        <v>OK</v>
      </c>
      <c r="S58" s="85">
        <v>47</v>
      </c>
      <c r="T58" s="86" t="str">
        <f>'Request #30'!T58</f>
        <v>Other Fees</v>
      </c>
      <c r="U58" s="218">
        <f>'Request #30'!U58</f>
        <v>0</v>
      </c>
      <c r="V58" s="87">
        <f>'Request #30'!V58</f>
        <v>0</v>
      </c>
      <c r="W58" s="88">
        <f>SUMIF(F7:F79,47,E7:E79)</f>
        <v>0</v>
      </c>
      <c r="X58" s="88">
        <f>'Request #30'!Y58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#30'!AA58,"OK","Alert,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#30'!V59,"OK","Send in Change Order")</f>
        <v>OK</v>
      </c>
      <c r="S59" s="85">
        <v>48</v>
      </c>
      <c r="T59" s="86" t="str">
        <f>'Request #30'!T59</f>
        <v>Other Fees</v>
      </c>
      <c r="U59" s="218">
        <f>'Request #30'!U59</f>
        <v>0</v>
      </c>
      <c r="V59" s="87">
        <f>'Request #30'!V59</f>
        <v>0</v>
      </c>
      <c r="W59" s="88">
        <f>SUMIF(F7:F79,48,E7:E79)</f>
        <v>0</v>
      </c>
      <c r="X59" s="88">
        <f>'Request #30'!Y59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#30'!AA59,"OK","Alert,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#30'!V60,"OK","Send in Change Order")</f>
        <v>OK</v>
      </c>
      <c r="S60" s="85">
        <v>49</v>
      </c>
      <c r="T60" s="86" t="str">
        <f>'Request #30'!T60</f>
        <v>Other Fees</v>
      </c>
      <c r="U60" s="218">
        <f>'Request #30'!U60</f>
        <v>0</v>
      </c>
      <c r="V60" s="87">
        <f>'Request #30'!V60</f>
        <v>0</v>
      </c>
      <c r="W60" s="88">
        <f>SUMIF(F7:F79,49,E7:E79)</f>
        <v>0</v>
      </c>
      <c r="X60" s="88">
        <f>'Request #30'!Y60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#30'!AA60,"OK","Alert,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#30'!V61,"OK","Send in Change Order")</f>
        <v>OK</v>
      </c>
      <c r="S61" s="85">
        <v>50</v>
      </c>
      <c r="T61" s="86" t="str">
        <f>'Request #30'!T61</f>
        <v>Other Fees</v>
      </c>
      <c r="U61" s="218">
        <f>'Request #30'!U61</f>
        <v>0</v>
      </c>
      <c r="V61" s="87">
        <f>'Request #30'!V61</f>
        <v>0</v>
      </c>
      <c r="W61" s="88">
        <f>SUMIF(F7:F79,50,E7:E79)</f>
        <v>0</v>
      </c>
      <c r="X61" s="88">
        <f>'Request #30'!Y61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#30'!AA61,"OK","Alert,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#30'!V62,"OK","Send in Change Order")</f>
        <v>OK</v>
      </c>
      <c r="S62" s="85">
        <v>51</v>
      </c>
      <c r="T62" s="86" t="str">
        <f>'Request #30'!T62</f>
        <v>Other Fees</v>
      </c>
      <c r="U62" s="218">
        <f>'Request #30'!U62</f>
        <v>0</v>
      </c>
      <c r="V62" s="87">
        <f>'Request #30'!V62</f>
        <v>0</v>
      </c>
      <c r="W62" s="88">
        <f>SUMIF(F7:F79,51,E7:E79)</f>
        <v>0</v>
      </c>
      <c r="X62" s="88">
        <f>'Request #30'!Y62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#30'!AA62,"OK","Alert,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#30'!V63,"OK","Send in Change Order")</f>
        <v>OK</v>
      </c>
      <c r="S63" s="85">
        <v>52</v>
      </c>
      <c r="T63" s="86" t="str">
        <f>'Request #30'!T63</f>
        <v>Worked Performed by Owner</v>
      </c>
      <c r="U63" s="218">
        <f>'Request #30'!U63</f>
        <v>0</v>
      </c>
      <c r="V63" s="87">
        <f>'Request #30'!V63</f>
        <v>0</v>
      </c>
      <c r="W63" s="88">
        <f>SUMIF(F7:F79,52,E7:E79)</f>
        <v>0</v>
      </c>
      <c r="X63" s="88">
        <f>'Request #30'!Y63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#30'!AA63,"OK","Alert,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#30'!V64,"OK","Send in Change Order")</f>
        <v>OK</v>
      </c>
      <c r="S64" s="85">
        <v>53</v>
      </c>
      <c r="T64" s="86" t="str">
        <f>'Request #30'!T64</f>
        <v>Equipment (Major)</v>
      </c>
      <c r="U64" s="218">
        <f>'Request #30'!U64</f>
        <v>0</v>
      </c>
      <c r="V64" s="87">
        <f>'Request #30'!V64</f>
        <v>0</v>
      </c>
      <c r="W64" s="88">
        <f>SUMIF(F7:F79,53,E7:E79)</f>
        <v>0</v>
      </c>
      <c r="X64" s="88">
        <f>'Request #30'!Y64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#30'!AA64,"OK","Alert,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#30'!V65,"OK","Send in Change Order")</f>
        <v>OK</v>
      </c>
      <c r="S65" s="85">
        <v>54</v>
      </c>
      <c r="T65" s="102" t="s">
        <v>90</v>
      </c>
      <c r="U65" s="218">
        <f>'Request #30'!U65</f>
        <v>0</v>
      </c>
      <c r="V65" s="87">
        <f>'Request #30'!V65</f>
        <v>0</v>
      </c>
      <c r="W65" s="104"/>
      <c r="X65" s="88">
        <f>'Request #30'!Y65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#30'!AA65,"OK","Alert,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#30'!V66,"OK","Send in Change Order")</f>
        <v>OK</v>
      </c>
      <c r="S66" s="85">
        <v>55</v>
      </c>
      <c r="T66" s="86"/>
      <c r="U66" s="218">
        <f>'Request #30'!U66</f>
        <v>0</v>
      </c>
      <c r="V66" s="87">
        <f>'Request #30'!V66</f>
        <v>0</v>
      </c>
      <c r="W66" s="88">
        <f>SUMIF(F7:F79,55,E7:E79)</f>
        <v>0</v>
      </c>
      <c r="X66" s="88">
        <f>'Request #30'!Y66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#30'!AA66,"OK","Alert,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#30'!V67,"OK","Send in Change Order")</f>
        <v>OK</v>
      </c>
      <c r="S67" s="85">
        <v>56</v>
      </c>
      <c r="T67" s="79"/>
      <c r="U67" s="218">
        <f>'Request #30'!U67</f>
        <v>0</v>
      </c>
      <c r="V67" s="87">
        <f>'Request #30'!V67</f>
        <v>0</v>
      </c>
      <c r="W67" s="88">
        <f>SUMIF(F7:F79,56,E7:E79)</f>
        <v>0</v>
      </c>
      <c r="X67" s="88">
        <f>'Request #30'!Y67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#30'!AA67,"OK","Alert,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#30'!V68,"OK","Send in Change Order")</f>
        <v>OK</v>
      </c>
      <c r="S68" s="316" t="s">
        <v>60</v>
      </c>
      <c r="T68" s="317"/>
      <c r="U68" s="224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#30'!AA68,"OK","Alert,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25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226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27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28" t="e">
        <f>V72/V68</f>
        <v>#DIV/0!</v>
      </c>
      <c r="V72" s="88">
        <f>V68-V74-V73</f>
        <v>0</v>
      </c>
      <c r="W72" s="87">
        <v>0</v>
      </c>
      <c r="X72" s="88">
        <f>'Request #30'!Y72</f>
        <v>0</v>
      </c>
      <c r="Y72" s="88">
        <f t="shared" ref="Y72:Y73" si="8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#30'!V73,"OK","Send in Change Order")</f>
        <v>OK</v>
      </c>
      <c r="S73" s="86" t="s">
        <v>95</v>
      </c>
      <c r="T73" s="114"/>
      <c r="U73" s="228" t="e">
        <f>V73/V68</f>
        <v>#DIV/0!</v>
      </c>
      <c r="V73" s="87">
        <f>'Request #30'!V73</f>
        <v>0</v>
      </c>
      <c r="W73" s="87">
        <v>0</v>
      </c>
      <c r="X73" s="88">
        <f>'Request #30'!Y73</f>
        <v>0</v>
      </c>
      <c r="Y73" s="88">
        <f t="shared" si="8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#30'!V74,"OK","Send in Change Order")</f>
        <v>OK</v>
      </c>
      <c r="S74" s="120" t="s">
        <v>96</v>
      </c>
      <c r="T74" s="121"/>
      <c r="U74" s="228" t="e">
        <f>V74/V68</f>
        <v>#DIV/0!</v>
      </c>
      <c r="V74" s="87">
        <f>'Request #30'!V74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221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30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30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31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221"/>
      <c r="V80" s="55"/>
      <c r="W80" s="55"/>
      <c r="X80" s="138"/>
      <c r="Y80" s="45" t="s">
        <v>108</v>
      </c>
      <c r="Z80" s="43"/>
      <c r="AA80" s="88">
        <f>'Request #30'!AA79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31</v>
      </c>
      <c r="V87" s="55"/>
      <c r="W87" s="55"/>
      <c r="X87" s="138"/>
      <c r="Y87" s="45" t="s">
        <v>108</v>
      </c>
      <c r="Z87" s="43"/>
      <c r="AA87" s="88">
        <f>'Request #30'!AA86</f>
        <v>0</v>
      </c>
      <c r="AB87" s="110"/>
    </row>
    <row r="88" spans="1:28" ht="30" customHeight="1" thickBot="1" x14ac:dyDescent="0.35">
      <c r="S88" s="55"/>
      <c r="T88" s="55"/>
      <c r="U88" s="221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221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221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221"/>
      <c r="V91" s="55"/>
      <c r="W91" s="55"/>
      <c r="X91" s="55"/>
    </row>
    <row r="92" spans="1:28" ht="30" customHeight="1" x14ac:dyDescent="0.3">
      <c r="S92" s="55"/>
      <c r="T92" s="55"/>
      <c r="U92" s="221"/>
      <c r="V92" s="55"/>
      <c r="W92" s="55"/>
      <c r="X92" s="55"/>
    </row>
    <row r="93" spans="1:28" ht="30" customHeight="1" x14ac:dyDescent="0.3">
      <c r="S93" s="55"/>
      <c r="T93" s="55"/>
      <c r="U93" s="221"/>
      <c r="V93" s="55"/>
      <c r="W93" s="55"/>
      <c r="X93" s="55"/>
    </row>
    <row r="94" spans="1:28" ht="30" customHeight="1" x14ac:dyDescent="0.3">
      <c r="S94" s="55"/>
      <c r="T94" s="55"/>
      <c r="U94" s="221"/>
      <c r="V94" s="55"/>
      <c r="W94" s="55"/>
      <c r="X94" s="55"/>
    </row>
    <row r="95" spans="1:28" ht="30" customHeight="1" x14ac:dyDescent="0.3">
      <c r="S95" s="55"/>
      <c r="T95" s="55"/>
      <c r="U95" s="221"/>
      <c r="V95" s="55"/>
      <c r="W95" s="55"/>
      <c r="X95" s="55"/>
    </row>
    <row r="96" spans="1:28" ht="30" customHeight="1" x14ac:dyDescent="0.3">
      <c r="S96" s="55"/>
      <c r="T96" s="55"/>
      <c r="U96" s="221"/>
      <c r="V96" s="55"/>
      <c r="W96" s="55"/>
      <c r="X96" s="55"/>
    </row>
    <row r="97" spans="15:24" ht="30" customHeight="1" x14ac:dyDescent="0.3">
      <c r="S97" s="55"/>
      <c r="T97" s="55"/>
      <c r="U97" s="221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UPkRtkCnWgGiWOcJXYUeFXU5gIclh/5e3aMlLkYq/NNE68opYrtT60BmU+e65yhJhQlsAEjt22bG6e2oqF+RTw==" saltValue="9RVSpF7R4fJeDpviWUWqXA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T10:U10"/>
    <mergeCell ref="C5:C6"/>
    <mergeCell ref="F5:F6"/>
    <mergeCell ref="M5:M6"/>
    <mergeCell ref="P5:P6"/>
    <mergeCell ref="S7:AA7"/>
    <mergeCell ref="Y83:AA83"/>
    <mergeCell ref="Y86:Z86"/>
    <mergeCell ref="S68:T68"/>
    <mergeCell ref="S70:T70"/>
    <mergeCell ref="Y76:AA76"/>
    <mergeCell ref="W77:W79"/>
    <mergeCell ref="Y79:Z79"/>
  </mergeCells>
  <conditionalFormatting sqref="R1:R1048576">
    <cfRule type="containsText" dxfId="160" priority="9" operator="containsText" text="Change">
      <formula>NOT(ISERROR(SEARCH("Change",R1)))</formula>
    </cfRule>
  </conditionalFormatting>
  <conditionalFormatting sqref="R45:R48">
    <cfRule type="cellIs" dxfId="159" priority="7" operator="equal">
      <formula>"Send in Change Order"</formula>
    </cfRule>
  </conditionalFormatting>
  <conditionalFormatting sqref="W68">
    <cfRule type="cellIs" dxfId="158" priority="2" operator="notEqual">
      <formula>$E$82</formula>
    </cfRule>
    <cfRule type="cellIs" dxfId="157" priority="3" operator="greaterThan">
      <formula>$E$82</formula>
    </cfRule>
    <cfRule type="cellIs" dxfId="156" priority="4" operator="notEqual">
      <formula>$E$82</formula>
    </cfRule>
  </conditionalFormatting>
  <conditionalFormatting sqref="Z12:Z44">
    <cfRule type="cellIs" dxfId="155" priority="8" operator="lessThan">
      <formula>0</formula>
    </cfRule>
  </conditionalFormatting>
  <conditionalFormatting sqref="Z49:Z68">
    <cfRule type="cellIs" dxfId="154" priority="5" operator="lessThan">
      <formula>0</formula>
    </cfRule>
  </conditionalFormatting>
  <conditionalFormatting sqref="AA68">
    <cfRule type="cellIs" dxfId="153" priority="1" operator="notEqual">
      <formula>$O$82</formula>
    </cfRule>
  </conditionalFormatting>
  <conditionalFormatting sqref="AB1:AB1048576">
    <cfRule type="containsText" dxfId="152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1" manualBreakCount="11">
    <brk id="6" max="88" man="1"/>
    <brk id="10" max="1048575" man="1"/>
    <brk id="16" max="1048575" man="1"/>
    <brk id="18" max="88" man="1"/>
    <brk id="27" max="88" man="1"/>
    <brk id="29" max="1048575" man="1"/>
    <brk id="52" max="1048575" man="1"/>
    <brk id="99" max="1048575" man="1"/>
    <brk id="101" max="1048575" man="1"/>
    <brk id="110" max="1048575" man="1"/>
    <brk id="111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2187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9" style="50" customWidth="1"/>
    <col min="19" max="19" width="6.109375" style="39" customWidth="1"/>
    <col min="20" max="20" width="30.109375" style="39" customWidth="1"/>
    <col min="21" max="21" width="17.77734375" style="219" customWidth="1"/>
    <col min="22" max="27" width="18.88671875" style="39" customWidth="1"/>
    <col min="28" max="28" width="26.4414062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220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32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220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220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221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22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23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32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218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#31'!V12,"OK","Send in Change Order")</f>
        <v>OK</v>
      </c>
      <c r="S12" s="85">
        <v>1</v>
      </c>
      <c r="T12" s="86" t="str">
        <f>'Request #31'!T12</f>
        <v>Land/Site Grading &amp; Improv.</v>
      </c>
      <c r="U12" s="218">
        <f>'Request #31'!U12</f>
        <v>0</v>
      </c>
      <c r="V12" s="87">
        <f>'Request #31'!V12</f>
        <v>0</v>
      </c>
      <c r="W12" s="88">
        <f>SUMIF(F7:F79,1,E7:E79)</f>
        <v>0</v>
      </c>
      <c r="X12" s="88">
        <f>'Request #31'!Y12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#31'!AA12,"OK","Alert,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#31'!V13,"OK","Send in Change Order")</f>
        <v>OK</v>
      </c>
      <c r="S13" s="85">
        <v>2</v>
      </c>
      <c r="T13" s="86" t="str">
        <f>'Request #31'!T13</f>
        <v xml:space="preserve">General Contract </v>
      </c>
      <c r="U13" s="218">
        <f>'Request #31'!U13</f>
        <v>0</v>
      </c>
      <c r="V13" s="87">
        <f>'Request #31'!V13</f>
        <v>0</v>
      </c>
      <c r="W13" s="88">
        <f>SUMIF(F7:F79,2,E7:E79)</f>
        <v>0</v>
      </c>
      <c r="X13" s="88">
        <f>'Request #31'!Y13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#31'!AA13,"OK","Alert,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#31'!V14,"OK","Send in Change Order")</f>
        <v>OK</v>
      </c>
      <c r="S14" s="85">
        <v>3</v>
      </c>
      <c r="T14" s="86" t="str">
        <f>'Request #31'!T14</f>
        <v>Designer Contract</v>
      </c>
      <c r="U14" s="218">
        <f>'Request #31'!U14</f>
        <v>0</v>
      </c>
      <c r="V14" s="87">
        <f>'Request #31'!V14</f>
        <v>0</v>
      </c>
      <c r="W14" s="88">
        <f>SUMIF(F7:F79,3,E7:E79)</f>
        <v>0</v>
      </c>
      <c r="X14" s="88">
        <f>'Request #31'!Y14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#31'!AA14,"OK","Alert,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#31'!V15,"OK","Send in Change Order")</f>
        <v>OK</v>
      </c>
      <c r="S15" s="85">
        <v>4</v>
      </c>
      <c r="T15" s="86" t="str">
        <f>'Request #31'!T15</f>
        <v>Designer Reimbursables</v>
      </c>
      <c r="U15" s="218">
        <f>'Request #31'!U15</f>
        <v>0</v>
      </c>
      <c r="V15" s="87">
        <f>'Request #31'!V15</f>
        <v>0</v>
      </c>
      <c r="W15" s="88">
        <f>SUMIF(F7:F79,4,E7:E79)</f>
        <v>0</v>
      </c>
      <c r="X15" s="88">
        <f>'Request #31'!Y15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#31'!AA15,"OK","Alert,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#31'!V16,"OK","Send in Change Order")</f>
        <v>OK</v>
      </c>
      <c r="S16" s="85">
        <v>5</v>
      </c>
      <c r="T16" s="86" t="str">
        <f>'Request #31'!T16</f>
        <v>Other Contracts</v>
      </c>
      <c r="U16" s="218">
        <f>'Request #31'!U16</f>
        <v>0</v>
      </c>
      <c r="V16" s="87">
        <f>'Request #31'!V16</f>
        <v>0</v>
      </c>
      <c r="W16" s="88">
        <f>SUMIF(F7:F79,5,E7:E79)</f>
        <v>0</v>
      </c>
      <c r="X16" s="88">
        <f>'Request #31'!Y16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#31'!AA16,"OK","Alert,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#31'!V17,"OK","Send in Change Order")</f>
        <v>OK</v>
      </c>
      <c r="S17" s="85">
        <v>6</v>
      </c>
      <c r="T17" s="86" t="str">
        <f>'Request #31'!T17</f>
        <v>Other Contracts</v>
      </c>
      <c r="U17" s="218">
        <f>'Request #31'!U17</f>
        <v>0</v>
      </c>
      <c r="V17" s="87">
        <f>'Request #31'!V17</f>
        <v>0</v>
      </c>
      <c r="W17" s="88">
        <f>SUMIF(F7:F79,6,E7:E79)</f>
        <v>0</v>
      </c>
      <c r="X17" s="88">
        <f>'Request #31'!Y17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#31'!AA17,"OK","Alert,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#31'!V18,"OK","Send in Change Order")</f>
        <v>OK</v>
      </c>
      <c r="S18" s="85">
        <v>7</v>
      </c>
      <c r="T18" s="86" t="str">
        <f>'Request #31'!T18</f>
        <v>Other Contracts</v>
      </c>
      <c r="U18" s="218">
        <f>'Request #31'!U18</f>
        <v>0</v>
      </c>
      <c r="V18" s="87">
        <f>'Request #31'!V18</f>
        <v>0</v>
      </c>
      <c r="W18" s="88">
        <f>SUMIF(F7:F79,7,E7:E79)</f>
        <v>0</v>
      </c>
      <c r="X18" s="88">
        <f>'Request #31'!Y18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#31'!AA18,"OK","Alert,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#31'!V19,"OK","Send in Change Order")</f>
        <v>OK</v>
      </c>
      <c r="S19" s="85">
        <v>8</v>
      </c>
      <c r="T19" s="86" t="str">
        <f>'Request #31'!T19</f>
        <v>Other Contracts</v>
      </c>
      <c r="U19" s="218">
        <f>'Request #31'!U19</f>
        <v>0</v>
      </c>
      <c r="V19" s="87">
        <f>'Request #31'!V19</f>
        <v>0</v>
      </c>
      <c r="W19" s="88">
        <f>SUMIF(F7:F79,8,E7:E79)</f>
        <v>0</v>
      </c>
      <c r="X19" s="88">
        <f>'Request #31'!Y19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#31'!AA19,"OK","Alert,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#31'!V20,"OK","Send in Change Order")</f>
        <v>OK</v>
      </c>
      <c r="S20" s="85">
        <v>9</v>
      </c>
      <c r="T20" s="86" t="str">
        <f>'Request #31'!T20</f>
        <v>Other Contracts</v>
      </c>
      <c r="U20" s="218">
        <f>'Request #31'!U20</f>
        <v>0</v>
      </c>
      <c r="V20" s="87">
        <f>'Request #31'!V20</f>
        <v>0</v>
      </c>
      <c r="W20" s="88">
        <f>SUMIF(F7:F79,9,E7:E79)</f>
        <v>0</v>
      </c>
      <c r="X20" s="88">
        <f>'Request #31'!Y20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#31'!AA20,"OK","Alert,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#31'!V21,"OK","Send in Change Order")</f>
        <v>OK</v>
      </c>
      <c r="S21" s="85">
        <v>10</v>
      </c>
      <c r="T21" s="86" t="str">
        <f>'Request #31'!T21</f>
        <v>Other Contracts</v>
      </c>
      <c r="U21" s="218">
        <f>'Request #31'!U21</f>
        <v>0</v>
      </c>
      <c r="V21" s="87">
        <f>'Request #31'!V21</f>
        <v>0</v>
      </c>
      <c r="W21" s="88">
        <f>SUMIF(F7:F79,10,E7:E79)</f>
        <v>0</v>
      </c>
      <c r="X21" s="88">
        <f>'Request #31'!Y21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#31'!AA21,"OK","Alert,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#31'!V22,"OK","Send in Change Order")</f>
        <v>OK</v>
      </c>
      <c r="S22" s="85">
        <v>11</v>
      </c>
      <c r="T22" s="86" t="str">
        <f>'Request #31'!T22</f>
        <v>Other Contracts</v>
      </c>
      <c r="U22" s="218">
        <f>'Request #31'!U22</f>
        <v>0</v>
      </c>
      <c r="V22" s="87">
        <f>'Request #31'!V22</f>
        <v>0</v>
      </c>
      <c r="W22" s="88">
        <f>SUMIF(F7:F79,11,E7:E79)</f>
        <v>0</v>
      </c>
      <c r="X22" s="88">
        <f>'Request #31'!Y22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#31'!AA22,"OK","Alert,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#31'!V23,"OK","Send in Change Order")</f>
        <v>OK</v>
      </c>
      <c r="S23" s="85">
        <v>12</v>
      </c>
      <c r="T23" s="86" t="str">
        <f>'Request #31'!T23</f>
        <v>Other Contracts</v>
      </c>
      <c r="U23" s="218">
        <f>'Request #31'!U23</f>
        <v>0</v>
      </c>
      <c r="V23" s="87">
        <f>'Request #31'!V23</f>
        <v>0</v>
      </c>
      <c r="W23" s="88">
        <f>SUMIF(F7:F79,12,E7:E79)</f>
        <v>0</v>
      </c>
      <c r="X23" s="88">
        <f>'Request #31'!Y23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#31'!AA23,"OK","Alert,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#31'!V24,"OK","Send in Change Order")</f>
        <v>OK</v>
      </c>
      <c r="S24" s="85">
        <v>13</v>
      </c>
      <c r="T24" s="86" t="str">
        <f>'Request #31'!T24</f>
        <v>Other Contracts</v>
      </c>
      <c r="U24" s="218">
        <f>'Request #31'!U24</f>
        <v>0</v>
      </c>
      <c r="V24" s="87">
        <f>'Request #31'!V24</f>
        <v>0</v>
      </c>
      <c r="W24" s="88">
        <f>SUMIF(F7:F79,13,E7:E79)</f>
        <v>0</v>
      </c>
      <c r="X24" s="88">
        <f>'Request #31'!Y24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#31'!AA24,"OK","Alert,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#31'!V25,"OK","Send in Change Order")</f>
        <v>OK</v>
      </c>
      <c r="S25" s="85">
        <v>14</v>
      </c>
      <c r="T25" s="86" t="str">
        <f>'Request #31'!T25</f>
        <v>Other Contracts</v>
      </c>
      <c r="U25" s="218">
        <f>'Request #31'!U25</f>
        <v>0</v>
      </c>
      <c r="V25" s="87">
        <f>'Request #31'!V25</f>
        <v>0</v>
      </c>
      <c r="W25" s="88">
        <f>SUMIF(F7:F79,14,E7:E79)</f>
        <v>0</v>
      </c>
      <c r="X25" s="88">
        <f>'Request #31'!Y25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#31'!AA25,"OK","Alert,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#31'!V26,"OK","Send in Change Order")</f>
        <v>OK</v>
      </c>
      <c r="S26" s="85">
        <v>15</v>
      </c>
      <c r="T26" s="86" t="str">
        <f>'Request #31'!T26</f>
        <v>Other Contracts</v>
      </c>
      <c r="U26" s="218">
        <f>'Request #31'!U26</f>
        <v>0</v>
      </c>
      <c r="V26" s="87">
        <f>'Request #31'!V26</f>
        <v>0</v>
      </c>
      <c r="W26" s="88">
        <f>SUMIF(F7:F79,15,E7:E79)</f>
        <v>0</v>
      </c>
      <c r="X26" s="88">
        <f>'Request #31'!Y26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#31'!AA26,"OK","Alert,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#31'!V27,"OK","Send in Change Order")</f>
        <v>OK</v>
      </c>
      <c r="S27" s="85">
        <v>16</v>
      </c>
      <c r="T27" s="86" t="str">
        <f>'Request #31'!T27</f>
        <v>Other Contracts</v>
      </c>
      <c r="U27" s="218">
        <f>'Request #31'!U27</f>
        <v>0</v>
      </c>
      <c r="V27" s="87">
        <f>'Request #31'!V27</f>
        <v>0</v>
      </c>
      <c r="W27" s="88">
        <f>SUMIF(F7:F79,16,E7:E79)</f>
        <v>0</v>
      </c>
      <c r="X27" s="88">
        <f>'Request #31'!Y27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#31'!AA27,"OK","Alert,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#31'!V28,"OK","Send in Change Order")</f>
        <v>OK</v>
      </c>
      <c r="S28" s="85">
        <v>17</v>
      </c>
      <c r="T28" s="86" t="str">
        <f>'Request #31'!T28</f>
        <v>Other Contracts</v>
      </c>
      <c r="U28" s="218">
        <f>'Request #31'!U28</f>
        <v>0</v>
      </c>
      <c r="V28" s="87">
        <f>'Request #31'!V28</f>
        <v>0</v>
      </c>
      <c r="W28" s="88">
        <f>SUMIF(F7:F79,17,E7:E79)</f>
        <v>0</v>
      </c>
      <c r="X28" s="88">
        <f>'Request #31'!Y28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#31'!AA28,"OK","Alert,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#31'!V29,"OK","Send in Change Order")</f>
        <v>OK</v>
      </c>
      <c r="S29" s="85">
        <v>18</v>
      </c>
      <c r="T29" s="86" t="str">
        <f>'Request #31'!T29</f>
        <v>Other Contracts</v>
      </c>
      <c r="U29" s="218">
        <f>'Request #31'!U29</f>
        <v>0</v>
      </c>
      <c r="V29" s="87">
        <f>'Request #31'!V29</f>
        <v>0</v>
      </c>
      <c r="W29" s="88">
        <f>SUMIF(F7:F79,18,E7:E79)</f>
        <v>0</v>
      </c>
      <c r="X29" s="88">
        <f>'Request #31'!Y29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#31'!AA29,"OK","Alert,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#31'!V30,"OK","Send in Change Order")</f>
        <v>OK</v>
      </c>
      <c r="S30" s="85">
        <v>19</v>
      </c>
      <c r="T30" s="86" t="str">
        <f>'Request #31'!T30</f>
        <v>Other Contracts</v>
      </c>
      <c r="U30" s="218">
        <f>'Request #31'!U30</f>
        <v>0</v>
      </c>
      <c r="V30" s="87">
        <f>'Request #31'!V30</f>
        <v>0</v>
      </c>
      <c r="W30" s="88">
        <f>SUMIF(F7:F79,19,E7:E79)</f>
        <v>0</v>
      </c>
      <c r="X30" s="88">
        <f>'Request #31'!Y30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#31'!AA30,"OK","Alert,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#31'!V31,"OK","Send in Change Order")</f>
        <v>OK</v>
      </c>
      <c r="S31" s="85">
        <v>20</v>
      </c>
      <c r="T31" s="86" t="str">
        <f>'Request #31'!T31</f>
        <v>Other Contracts</v>
      </c>
      <c r="U31" s="218">
        <f>'Request #31'!U31</f>
        <v>0</v>
      </c>
      <c r="V31" s="87">
        <f>'Request #31'!V31</f>
        <v>0</v>
      </c>
      <c r="W31" s="88">
        <f>SUMIF(F7:F79,20,E7:E79)</f>
        <v>0</v>
      </c>
      <c r="X31" s="88">
        <f>'Request #31'!Y31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#31'!AA31,"OK","Alert,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#31'!V32,"OK","Send in Change Order")</f>
        <v>OK</v>
      </c>
      <c r="S32" s="85">
        <v>21</v>
      </c>
      <c r="T32" s="86" t="str">
        <f>'Request #31'!T32</f>
        <v>Other Contracts</v>
      </c>
      <c r="U32" s="218">
        <f>'Request #31'!U32</f>
        <v>0</v>
      </c>
      <c r="V32" s="87">
        <f>'Request #31'!V32</f>
        <v>0</v>
      </c>
      <c r="W32" s="88">
        <f>SUMIF(F7:F79,21,E7:E79)</f>
        <v>0</v>
      </c>
      <c r="X32" s="88">
        <f>'Request #31'!Y32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#31'!AA32,"OK","Alert,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#31'!V33,"OK","Send in Change Order")</f>
        <v>OK</v>
      </c>
      <c r="S33" s="85">
        <v>22</v>
      </c>
      <c r="T33" s="86" t="str">
        <f>'Request #31'!T33</f>
        <v>Other Contracts</v>
      </c>
      <c r="U33" s="218">
        <f>'Request #31'!U33</f>
        <v>0</v>
      </c>
      <c r="V33" s="87">
        <f>'Request #31'!V33</f>
        <v>0</v>
      </c>
      <c r="W33" s="88">
        <f>SUMIF(F7:F79,22,E7:E79)</f>
        <v>0</v>
      </c>
      <c r="X33" s="88">
        <f>'Request #31'!Y33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#31'!AA33,"OK","Alert,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#31'!V34,"OK","Send in Change Order")</f>
        <v>OK</v>
      </c>
      <c r="S34" s="85">
        <v>23</v>
      </c>
      <c r="T34" s="86" t="str">
        <f>'Request #31'!T34</f>
        <v>Other Contracts</v>
      </c>
      <c r="U34" s="218">
        <f>'Request #31'!U34</f>
        <v>0</v>
      </c>
      <c r="V34" s="87">
        <f>'Request #31'!V34</f>
        <v>0</v>
      </c>
      <c r="W34" s="88">
        <f>SUMIF(F7:F79,23,E7:E79)</f>
        <v>0</v>
      </c>
      <c r="X34" s="88">
        <f>'Request #31'!Y34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#31'!AA34,"OK","Alert,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#31'!V35,"OK","Send in Change Order")</f>
        <v>OK</v>
      </c>
      <c r="S35" s="85">
        <v>24</v>
      </c>
      <c r="T35" s="86" t="str">
        <f>'Request #31'!T35</f>
        <v>Other Contracts</v>
      </c>
      <c r="U35" s="218">
        <f>'Request #31'!U35</f>
        <v>0</v>
      </c>
      <c r="V35" s="87">
        <f>'Request #31'!V35</f>
        <v>0</v>
      </c>
      <c r="W35" s="88">
        <f>SUMIF(F7:F79,24,E7:E79)</f>
        <v>0</v>
      </c>
      <c r="X35" s="88">
        <f>'Request #31'!Y35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#31'!AA35,"OK","Alert,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#31'!V36,"OK","Send in Change Order")</f>
        <v>OK</v>
      </c>
      <c r="S36" s="85">
        <v>25</v>
      </c>
      <c r="T36" s="86" t="str">
        <f>'Request #31'!T36</f>
        <v>Other Contracts</v>
      </c>
      <c r="U36" s="218">
        <f>'Request #31'!U36</f>
        <v>0</v>
      </c>
      <c r="V36" s="87">
        <f>'Request #31'!V36</f>
        <v>0</v>
      </c>
      <c r="W36" s="88">
        <f>SUMIF(F7:F79,25,E7:E79)</f>
        <v>0</v>
      </c>
      <c r="X36" s="88">
        <f>'Request #31'!Y36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#31'!AA36,"OK","Alert,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#31'!V37,"OK","Send in Change Order")</f>
        <v>OK</v>
      </c>
      <c r="S37" s="85">
        <v>26</v>
      </c>
      <c r="T37" s="86" t="str">
        <f>'Request #31'!T37</f>
        <v>Other Fees</v>
      </c>
      <c r="U37" s="218">
        <f>'Request #31'!U37</f>
        <v>0</v>
      </c>
      <c r="V37" s="87">
        <f>'Request #31'!V37</f>
        <v>0</v>
      </c>
      <c r="W37" s="88">
        <f>SUMIF(F7:F79,26,E7:E79)</f>
        <v>0</v>
      </c>
      <c r="X37" s="88">
        <f>'Request #31'!Y37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#31'!AA37,"OK","Alert,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#31'!V38,"OK","Send in Change Order")</f>
        <v>OK</v>
      </c>
      <c r="S38" s="85">
        <v>27</v>
      </c>
      <c r="T38" s="86" t="str">
        <f>'Request #31'!T38</f>
        <v>Other Fees</v>
      </c>
      <c r="U38" s="218">
        <f>'Request #31'!U38</f>
        <v>0</v>
      </c>
      <c r="V38" s="87">
        <f>'Request #31'!V38</f>
        <v>0</v>
      </c>
      <c r="W38" s="88">
        <f>SUMIF(F7:F79,27,E7:E79)</f>
        <v>0</v>
      </c>
      <c r="X38" s="88">
        <f>'Request #31'!Y38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#31'!AA38,"OK","Alert,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#31'!V39,"OK","Send in Change Order")</f>
        <v>OK</v>
      </c>
      <c r="S39" s="85">
        <v>28</v>
      </c>
      <c r="T39" s="86" t="str">
        <f>'Request #31'!T39</f>
        <v>Other Fees</v>
      </c>
      <c r="U39" s="218">
        <f>'Request #31'!U39</f>
        <v>0</v>
      </c>
      <c r="V39" s="87">
        <f>'Request #31'!V39</f>
        <v>0</v>
      </c>
      <c r="W39" s="88">
        <f>SUMIF(F7:F79,28,E7:E79)</f>
        <v>0</v>
      </c>
      <c r="X39" s="88">
        <f>'Request #31'!Y39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#31'!AA39,"OK","Alert,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#31'!V40,"OK","Send in Change Order")</f>
        <v>OK</v>
      </c>
      <c r="S40" s="85">
        <v>29</v>
      </c>
      <c r="T40" s="86" t="str">
        <f>'Request #31'!T40</f>
        <v>Other Fees</v>
      </c>
      <c r="U40" s="218">
        <f>'Request #31'!U40</f>
        <v>0</v>
      </c>
      <c r="V40" s="87">
        <f>'Request #31'!V40</f>
        <v>0</v>
      </c>
      <c r="W40" s="88">
        <f>SUMIF(F7:F79,29,E7:E79)</f>
        <v>0</v>
      </c>
      <c r="X40" s="88">
        <f>'Request #31'!Y40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#31'!AA40,"OK","Alert,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#31'!V41,"OK","Send in Change Order")</f>
        <v>OK</v>
      </c>
      <c r="S41" s="85">
        <v>30</v>
      </c>
      <c r="T41" s="86" t="str">
        <f>'Request #31'!T41</f>
        <v>Other Fees</v>
      </c>
      <c r="U41" s="218">
        <f>'Request #31'!U41</f>
        <v>0</v>
      </c>
      <c r="V41" s="87">
        <f>'Request #31'!V41</f>
        <v>0</v>
      </c>
      <c r="W41" s="88">
        <f>SUMIF(F7:F79,30,E7:E79)</f>
        <v>0</v>
      </c>
      <c r="X41" s="88">
        <f>'Request #31'!Y41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#31'!AA41,"OK","Alert,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#31'!V42,"OK","Send in Change Order")</f>
        <v>OK</v>
      </c>
      <c r="S42" s="85">
        <v>31</v>
      </c>
      <c r="T42" s="86" t="str">
        <f>'Request #31'!T42</f>
        <v>Other Fees</v>
      </c>
      <c r="U42" s="218">
        <f>'Request #31'!U42</f>
        <v>0</v>
      </c>
      <c r="V42" s="87">
        <f>'Request #31'!V42</f>
        <v>0</v>
      </c>
      <c r="W42" s="88">
        <f>SUMIF(F7:F79,31,E7:E79)</f>
        <v>0</v>
      </c>
      <c r="X42" s="88">
        <f>'Request #31'!Y42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#31'!AA42,"OK","Alert,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#31'!V43,"OK","Send in Change Order")</f>
        <v>OK</v>
      </c>
      <c r="S43" s="85">
        <v>32</v>
      </c>
      <c r="T43" s="86" t="str">
        <f>'Request #31'!T43</f>
        <v>Other Fees</v>
      </c>
      <c r="U43" s="218">
        <f>'Request #31'!U43</f>
        <v>0</v>
      </c>
      <c r="V43" s="87">
        <f>'Request #31'!V43</f>
        <v>0</v>
      </c>
      <c r="W43" s="88">
        <f>SUMIF(F7:F79,32,E7:E79)</f>
        <v>0</v>
      </c>
      <c r="X43" s="88">
        <f>'Request #31'!Y43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#31'!AA43,"OK","Alert,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#31'!V44,"OK","Send in Change Order")</f>
        <v>OK</v>
      </c>
      <c r="S44" s="85">
        <v>33</v>
      </c>
      <c r="T44" s="86" t="str">
        <f>'Request #31'!T44</f>
        <v>Other Fees</v>
      </c>
      <c r="U44" s="218">
        <f>'Request #31'!U44</f>
        <v>0</v>
      </c>
      <c r="V44" s="87">
        <f>'Request #31'!V44</f>
        <v>0</v>
      </c>
      <c r="W44" s="88">
        <f>SUMIF(F7:F79,33,E7:E79)</f>
        <v>0</v>
      </c>
      <c r="X44" s="88">
        <f>'Request #31'!Y44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#31'!AA44,"OK","Alert,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#31'!V49,"OK","Send in Change Order")</f>
        <v>OK</v>
      </c>
      <c r="S49" s="85">
        <v>38</v>
      </c>
      <c r="T49" s="86" t="str">
        <f>'Request #31'!T49</f>
        <v>Other Fees</v>
      </c>
      <c r="U49" s="218">
        <f>'Request #31'!U49</f>
        <v>0</v>
      </c>
      <c r="V49" s="87">
        <f>'Request #31'!V49</f>
        <v>0</v>
      </c>
      <c r="W49" s="88">
        <f>SUMIF(F7:F79,38,E7:E79)</f>
        <v>0</v>
      </c>
      <c r="X49" s="88">
        <f>'Request #31'!Y49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#31'!AA49,"OK","Alert,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#31'!V50,"OK","Send in Change Order")</f>
        <v>OK</v>
      </c>
      <c r="S50" s="85">
        <v>39</v>
      </c>
      <c r="T50" s="86" t="str">
        <f>'Request #31'!T50</f>
        <v>Other Fees</v>
      </c>
      <c r="U50" s="218">
        <f>'Request #31'!U50</f>
        <v>0</v>
      </c>
      <c r="V50" s="87">
        <f>'Request #31'!V50</f>
        <v>0</v>
      </c>
      <c r="W50" s="88">
        <f>SUMIF(F7:F79,39,E7:E79)</f>
        <v>0</v>
      </c>
      <c r="X50" s="88">
        <f>'Request #31'!Y50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#31'!AA50,"OK","Alert,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#31'!V51,"OK","Send in Change Order")</f>
        <v>OK</v>
      </c>
      <c r="S51" s="85">
        <v>40</v>
      </c>
      <c r="T51" s="86" t="str">
        <f>'Request #31'!T51</f>
        <v>Other Fees</v>
      </c>
      <c r="U51" s="218">
        <f>'Request #31'!U51</f>
        <v>0</v>
      </c>
      <c r="V51" s="87">
        <f>'Request #31'!V51</f>
        <v>0</v>
      </c>
      <c r="W51" s="88">
        <f>SUMIF(F7:F79,40,E7:E79)</f>
        <v>0</v>
      </c>
      <c r="X51" s="88">
        <f>'Request #31'!Y51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#31'!AA51,"OK","Alert,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#31'!V52,"OK","Send in Change Order")</f>
        <v>OK</v>
      </c>
      <c r="S52" s="85">
        <v>41</v>
      </c>
      <c r="T52" s="86" t="str">
        <f>'Request #31'!T52</f>
        <v>Other Fees</v>
      </c>
      <c r="U52" s="218">
        <f>'Request #31'!U52</f>
        <v>0</v>
      </c>
      <c r="V52" s="87">
        <f>'Request #31'!V52</f>
        <v>0</v>
      </c>
      <c r="W52" s="88">
        <f>SUMIF(F7:F79,41,E7:E79)</f>
        <v>0</v>
      </c>
      <c r="X52" s="88">
        <f>'Request #31'!Y52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#31'!AA52,"OK","Alert,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#31'!V53,"OK","Send in Change Order")</f>
        <v>OK</v>
      </c>
      <c r="S53" s="85">
        <v>42</v>
      </c>
      <c r="T53" s="86" t="str">
        <f>'Request #31'!T53</f>
        <v>Other Fees</v>
      </c>
      <c r="U53" s="218">
        <f>'Request #31'!U53</f>
        <v>0</v>
      </c>
      <c r="V53" s="87">
        <f>'Request #31'!V53</f>
        <v>0</v>
      </c>
      <c r="W53" s="88">
        <f>SUMIF(F7:F79,42,E7:E79)</f>
        <v>0</v>
      </c>
      <c r="X53" s="88">
        <f>'Request #31'!Y53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#31'!AA53,"OK","Alert,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#31'!V54,"OK","Send in Change Order")</f>
        <v>OK</v>
      </c>
      <c r="S54" s="85">
        <v>43</v>
      </c>
      <c r="T54" s="86" t="str">
        <f>'Request #31'!T54</f>
        <v>Other Fees</v>
      </c>
      <c r="U54" s="218">
        <f>'Request #31'!U54</f>
        <v>0</v>
      </c>
      <c r="V54" s="87">
        <f>'Request #31'!V54</f>
        <v>0</v>
      </c>
      <c r="W54" s="88">
        <f>SUMIF(F7:F79,43,E7:E79)</f>
        <v>0</v>
      </c>
      <c r="X54" s="88">
        <f>'Request #31'!Y54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#31'!AA54,"OK","Alert,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#31'!V55,"OK","Send in Change Order")</f>
        <v>OK</v>
      </c>
      <c r="S55" s="85">
        <v>44</v>
      </c>
      <c r="T55" s="86" t="str">
        <f>'Request #31'!T55</f>
        <v>Other Fees</v>
      </c>
      <c r="U55" s="218">
        <f>'Request #31'!U55</f>
        <v>0</v>
      </c>
      <c r="V55" s="87">
        <f>'Request #31'!V55</f>
        <v>0</v>
      </c>
      <c r="W55" s="88">
        <f>SUMIF(F7:F79,44,E7:E79)</f>
        <v>0</v>
      </c>
      <c r="X55" s="88">
        <f>'Request #31'!Y55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#31'!AA55,"OK","Alert,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#31'!V56,"OK","Send in Change Order")</f>
        <v>OK</v>
      </c>
      <c r="S56" s="85">
        <v>45</v>
      </c>
      <c r="T56" s="86" t="str">
        <f>'Request #31'!T56</f>
        <v>Other Fees</v>
      </c>
      <c r="U56" s="218">
        <f>'Request #31'!U56</f>
        <v>0</v>
      </c>
      <c r="V56" s="87">
        <f>'Request #31'!V56</f>
        <v>0</v>
      </c>
      <c r="W56" s="88">
        <f>SUMIF(F7:F79,45,E7:E79)</f>
        <v>0</v>
      </c>
      <c r="X56" s="88">
        <f>'Request #31'!Y56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#31'!AA56,"OK","Alert,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#31'!V57,"OK","Send in Change Order")</f>
        <v>OK</v>
      </c>
      <c r="S57" s="85">
        <v>46</v>
      </c>
      <c r="T57" s="86" t="str">
        <f>'Request #31'!T57</f>
        <v>Other Fees</v>
      </c>
      <c r="U57" s="218">
        <f>'Request #31'!U57</f>
        <v>0</v>
      </c>
      <c r="V57" s="87">
        <f>'Request #31'!V57</f>
        <v>0</v>
      </c>
      <c r="W57" s="88">
        <f>SUMIF(F7:F79,46,E7:E79)</f>
        <v>0</v>
      </c>
      <c r="X57" s="88">
        <f>'Request #31'!Y57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#31'!AA57,"OK","Alert,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#31'!V58,"OK","Send in Change Order")</f>
        <v>OK</v>
      </c>
      <c r="S58" s="85">
        <v>47</v>
      </c>
      <c r="T58" s="86" t="str">
        <f>'Request #31'!T58</f>
        <v>Other Fees</v>
      </c>
      <c r="U58" s="218">
        <f>'Request #31'!U58</f>
        <v>0</v>
      </c>
      <c r="V58" s="87">
        <f>'Request #31'!V58</f>
        <v>0</v>
      </c>
      <c r="W58" s="88">
        <f>SUMIF(F7:F79,47,E7:E79)</f>
        <v>0</v>
      </c>
      <c r="X58" s="88">
        <f>'Request #31'!Y58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#31'!AA58,"OK","Alert,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#31'!V59,"OK","Send in Change Order")</f>
        <v>OK</v>
      </c>
      <c r="S59" s="85">
        <v>48</v>
      </c>
      <c r="T59" s="86" t="str">
        <f>'Request #31'!T59</f>
        <v>Other Fees</v>
      </c>
      <c r="U59" s="218">
        <f>'Request #31'!U59</f>
        <v>0</v>
      </c>
      <c r="V59" s="87">
        <f>'Request #31'!V59</f>
        <v>0</v>
      </c>
      <c r="W59" s="88">
        <f>SUMIF(F7:F79,48,E7:E79)</f>
        <v>0</v>
      </c>
      <c r="X59" s="88">
        <f>'Request #31'!Y59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#31'!AA59,"OK","Alert,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#31'!V60,"OK","Send in Change Order")</f>
        <v>OK</v>
      </c>
      <c r="S60" s="85">
        <v>49</v>
      </c>
      <c r="T60" s="86" t="str">
        <f>'Request #31'!T60</f>
        <v>Other Fees</v>
      </c>
      <c r="U60" s="218">
        <f>'Request #31'!U60</f>
        <v>0</v>
      </c>
      <c r="V60" s="87">
        <f>'Request #31'!V60</f>
        <v>0</v>
      </c>
      <c r="W60" s="88">
        <f>SUMIF(F7:F79,49,E7:E79)</f>
        <v>0</v>
      </c>
      <c r="X60" s="88">
        <f>'Request #31'!Y60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#31'!AA60,"OK","Alert,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#31'!V61,"OK","Send in Change Order")</f>
        <v>OK</v>
      </c>
      <c r="S61" s="85">
        <v>50</v>
      </c>
      <c r="T61" s="86" t="str">
        <f>'Request #31'!T61</f>
        <v>Other Fees</v>
      </c>
      <c r="U61" s="218">
        <f>'Request #31'!U61</f>
        <v>0</v>
      </c>
      <c r="V61" s="87">
        <f>'Request #31'!V61</f>
        <v>0</v>
      </c>
      <c r="W61" s="88">
        <f>SUMIF(F7:F79,50,E7:E79)</f>
        <v>0</v>
      </c>
      <c r="X61" s="88">
        <f>'Request #31'!Y61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#31'!AA61,"OK","Alert,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#31'!V62,"OK","Send in Change Order")</f>
        <v>OK</v>
      </c>
      <c r="S62" s="85">
        <v>51</v>
      </c>
      <c r="T62" s="86" t="str">
        <f>'Request #31'!T62</f>
        <v>Other Fees</v>
      </c>
      <c r="U62" s="218">
        <f>'Request #31'!U62</f>
        <v>0</v>
      </c>
      <c r="V62" s="87">
        <f>'Request #31'!V62</f>
        <v>0</v>
      </c>
      <c r="W62" s="88">
        <f>SUMIF(F7:F79,51,E7:E79)</f>
        <v>0</v>
      </c>
      <c r="X62" s="88">
        <f>'Request #31'!Y62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#31'!AA62,"OK","Alert,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#31'!V63,"OK","Send in Change Order")</f>
        <v>OK</v>
      </c>
      <c r="S63" s="85">
        <v>52</v>
      </c>
      <c r="T63" s="86" t="str">
        <f>'Request #31'!T63</f>
        <v>Worked Performed by Owner</v>
      </c>
      <c r="U63" s="218">
        <f>'Request #31'!U63</f>
        <v>0</v>
      </c>
      <c r="V63" s="87">
        <f>'Request #31'!V63</f>
        <v>0</v>
      </c>
      <c r="W63" s="88">
        <f>SUMIF(F7:F79,52,E7:E79)</f>
        <v>0</v>
      </c>
      <c r="X63" s="88">
        <f>'Request #31'!Y63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#31'!AA63,"OK","Alert,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#31'!V64,"OK","Send in Change Order")</f>
        <v>OK</v>
      </c>
      <c r="S64" s="85">
        <v>53</v>
      </c>
      <c r="T64" s="86" t="str">
        <f>'Request #31'!T64</f>
        <v>Equipment (Major)</v>
      </c>
      <c r="U64" s="218">
        <f>'Request #31'!U64</f>
        <v>0</v>
      </c>
      <c r="V64" s="87">
        <f>'Request #31'!V64</f>
        <v>0</v>
      </c>
      <c r="W64" s="88">
        <f>SUMIF(F7:F79,53,E7:E79)</f>
        <v>0</v>
      </c>
      <c r="X64" s="88">
        <f>'Request #31'!Y64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#31'!AA64,"OK","Alert,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#31'!V65,"OK","Send in Change Order")</f>
        <v>OK</v>
      </c>
      <c r="S65" s="85">
        <v>54</v>
      </c>
      <c r="T65" s="102" t="s">
        <v>90</v>
      </c>
      <c r="U65" s="218">
        <f>'Request #31'!U65</f>
        <v>0</v>
      </c>
      <c r="V65" s="87">
        <f>'Request #31'!V65</f>
        <v>0</v>
      </c>
      <c r="W65" s="104"/>
      <c r="X65" s="88">
        <f>'Request #31'!Y65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#31'!AA65,"OK","Alert,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#31'!V66,"OK","Send in Change Order")</f>
        <v>OK</v>
      </c>
      <c r="S66" s="85">
        <v>55</v>
      </c>
      <c r="T66" s="86"/>
      <c r="U66" s="218">
        <f>'Request #31'!U66</f>
        <v>0</v>
      </c>
      <c r="V66" s="87">
        <f>'Request #31'!V66</f>
        <v>0</v>
      </c>
      <c r="W66" s="88">
        <f>SUMIF(F7:F79,55,E7:E79)</f>
        <v>0</v>
      </c>
      <c r="X66" s="88">
        <f>'Request #31'!Y66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#31'!AA66,"OK","Alert,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#31'!V67,"OK","Send in Change Order")</f>
        <v>OK</v>
      </c>
      <c r="S67" s="85">
        <v>56</v>
      </c>
      <c r="T67" s="79"/>
      <c r="U67" s="218">
        <f>'Request #31'!U67</f>
        <v>0</v>
      </c>
      <c r="V67" s="87">
        <f>'Request #31'!V67</f>
        <v>0</v>
      </c>
      <c r="W67" s="88">
        <f>SUMIF(F7:F79,56,E7:E79)</f>
        <v>0</v>
      </c>
      <c r="X67" s="88">
        <f>'Request #31'!Y67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#31'!AA67,"OK","Alert,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#31'!V68,"OK","Send in Change Order")</f>
        <v>OK</v>
      </c>
      <c r="S68" s="316" t="s">
        <v>60</v>
      </c>
      <c r="T68" s="317"/>
      <c r="U68" s="224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#31'!AA68,"OK","Alert,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25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226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27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28" t="e">
        <f>V72/V68</f>
        <v>#DIV/0!</v>
      </c>
      <c r="V72" s="88">
        <f>V68-V74-V73</f>
        <v>0</v>
      </c>
      <c r="W72" s="87">
        <v>0</v>
      </c>
      <c r="X72" s="88">
        <f>'Request #31'!Y72</f>
        <v>0</v>
      </c>
      <c r="Y72" s="88">
        <f t="shared" ref="Y72:Y73" si="8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#31'!V73,"OK","Send in Change Order")</f>
        <v>OK</v>
      </c>
      <c r="S73" s="86" t="s">
        <v>95</v>
      </c>
      <c r="T73" s="114"/>
      <c r="U73" s="228" t="e">
        <f>V73/V68</f>
        <v>#DIV/0!</v>
      </c>
      <c r="V73" s="87">
        <f>'Request #31'!V73</f>
        <v>0</v>
      </c>
      <c r="W73" s="87">
        <v>0</v>
      </c>
      <c r="X73" s="88">
        <f>'Request #31'!Y73</f>
        <v>0</v>
      </c>
      <c r="Y73" s="88">
        <f t="shared" si="8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#31'!V74,"OK","Send in Change Order")</f>
        <v>OK</v>
      </c>
      <c r="S74" s="120" t="s">
        <v>96</v>
      </c>
      <c r="T74" s="121"/>
      <c r="U74" s="228" t="e">
        <f>V74/V68</f>
        <v>#DIV/0!</v>
      </c>
      <c r="V74" s="87">
        <f>'Request #31'!V74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221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30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30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31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221"/>
      <c r="V80" s="55"/>
      <c r="W80" s="55"/>
      <c r="X80" s="138"/>
      <c r="Y80" s="45" t="s">
        <v>108</v>
      </c>
      <c r="Z80" s="43"/>
      <c r="AA80" s="88">
        <f>'Request #31'!AA79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32</v>
      </c>
      <c r="V87" s="55"/>
      <c r="W87" s="55"/>
      <c r="X87" s="138"/>
      <c r="Y87" s="45" t="s">
        <v>108</v>
      </c>
      <c r="Z87" s="43"/>
      <c r="AA87" s="88">
        <f>'Request #31'!AA86</f>
        <v>0</v>
      </c>
      <c r="AB87" s="110"/>
    </row>
    <row r="88" spans="1:28" ht="30" customHeight="1" thickBot="1" x14ac:dyDescent="0.35">
      <c r="S88" s="55"/>
      <c r="T88" s="55"/>
      <c r="U88" s="221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221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221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221"/>
      <c r="V91" s="55"/>
      <c r="W91" s="55"/>
      <c r="X91" s="55"/>
    </row>
    <row r="92" spans="1:28" ht="30" customHeight="1" x14ac:dyDescent="0.3">
      <c r="S92" s="55"/>
      <c r="T92" s="55"/>
      <c r="U92" s="221"/>
      <c r="V92" s="55"/>
      <c r="W92" s="55"/>
      <c r="X92" s="55"/>
    </row>
    <row r="93" spans="1:28" ht="30" customHeight="1" x14ac:dyDescent="0.3">
      <c r="S93" s="55"/>
      <c r="T93" s="55"/>
      <c r="U93" s="221"/>
      <c r="V93" s="55"/>
      <c r="W93" s="55"/>
      <c r="X93" s="55"/>
    </row>
    <row r="94" spans="1:28" ht="30" customHeight="1" x14ac:dyDescent="0.3">
      <c r="S94" s="55"/>
      <c r="T94" s="55"/>
      <c r="U94" s="221"/>
      <c r="V94" s="55"/>
      <c r="W94" s="55"/>
      <c r="X94" s="55"/>
    </row>
    <row r="95" spans="1:28" ht="30" customHeight="1" x14ac:dyDescent="0.3">
      <c r="S95" s="55"/>
      <c r="T95" s="55"/>
      <c r="U95" s="221"/>
      <c r="V95" s="55"/>
      <c r="W95" s="55"/>
      <c r="X95" s="55"/>
    </row>
    <row r="96" spans="1:28" ht="30" customHeight="1" x14ac:dyDescent="0.3">
      <c r="S96" s="55"/>
      <c r="T96" s="55"/>
      <c r="U96" s="221"/>
      <c r="V96" s="55"/>
      <c r="W96" s="55"/>
      <c r="X96" s="55"/>
    </row>
    <row r="97" spans="15:24" ht="30" customHeight="1" x14ac:dyDescent="0.3">
      <c r="S97" s="55"/>
      <c r="T97" s="55"/>
      <c r="U97" s="221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zp18uKOO4FJMs/jTRmDpFSeGp0DoLaOCgHqBQ6xZS+mdZBSmLem2lFcjGk3NKnGuHZiFY0itRrMJAqjeoOmqtQ==" saltValue="R7wf/cj6qN6Dn9aaKjE2uQ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T10:U10"/>
    <mergeCell ref="C5:C6"/>
    <mergeCell ref="F5:F6"/>
    <mergeCell ref="M5:M6"/>
    <mergeCell ref="P5:P6"/>
    <mergeCell ref="S7:AA7"/>
    <mergeCell ref="Y83:AA83"/>
    <mergeCell ref="Y86:Z86"/>
    <mergeCell ref="S68:T68"/>
    <mergeCell ref="S70:T70"/>
    <mergeCell ref="Y76:AA76"/>
    <mergeCell ref="W77:W79"/>
    <mergeCell ref="Y79:Z79"/>
  </mergeCells>
  <conditionalFormatting sqref="R1:R1048576">
    <cfRule type="containsText" dxfId="151" priority="10" operator="containsText" text="Change">
      <formula>NOT(ISERROR(SEARCH("Change",R1)))</formula>
    </cfRule>
  </conditionalFormatting>
  <conditionalFormatting sqref="R45:R48">
    <cfRule type="cellIs" dxfId="150" priority="7" operator="equal">
      <formula>"Send in Change Order"</formula>
    </cfRule>
  </conditionalFormatting>
  <conditionalFormatting sqref="W68">
    <cfRule type="cellIs" dxfId="149" priority="2" operator="notEqual">
      <formula>$E$82</formula>
    </cfRule>
    <cfRule type="cellIs" dxfId="148" priority="3" operator="greaterThan">
      <formula>$E$82</formula>
    </cfRule>
    <cfRule type="cellIs" dxfId="147" priority="4" operator="notEqual">
      <formula>$E$82</formula>
    </cfRule>
  </conditionalFormatting>
  <conditionalFormatting sqref="Z12:Z44">
    <cfRule type="cellIs" dxfId="146" priority="8" operator="lessThan">
      <formula>0</formula>
    </cfRule>
  </conditionalFormatting>
  <conditionalFormatting sqref="Z49:Z68">
    <cfRule type="cellIs" dxfId="145" priority="5" operator="lessThan">
      <formula>0</formula>
    </cfRule>
  </conditionalFormatting>
  <conditionalFormatting sqref="AA68">
    <cfRule type="cellIs" dxfId="144" priority="1" operator="notEqual">
      <formula>$O$82</formula>
    </cfRule>
  </conditionalFormatting>
  <conditionalFormatting sqref="AB1:AB1048576">
    <cfRule type="containsText" dxfId="143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2" manualBreakCount="12">
    <brk id="6" max="88" man="1"/>
    <brk id="10" max="88" man="1"/>
    <brk id="16" max="1048575" man="1"/>
    <brk id="18" max="1048575" man="1"/>
    <brk id="27" max="88" man="1"/>
    <brk id="29" max="1048575" man="1"/>
    <brk id="51" max="1048575" man="1"/>
    <brk id="52" max="1048575" man="1"/>
    <brk id="99" max="1048575" man="1"/>
    <brk id="101" max="1048575" man="1"/>
    <brk id="110" max="1048575" man="1"/>
    <brk id="111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10937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9.77734375" style="50" customWidth="1"/>
    <col min="19" max="19" width="5.6640625" style="39" customWidth="1"/>
    <col min="20" max="20" width="30.5546875" style="39" customWidth="1"/>
    <col min="21" max="21" width="17.77734375" style="219" customWidth="1"/>
    <col min="22" max="27" width="18.88671875" style="39" customWidth="1"/>
    <col min="28" max="28" width="24.7773437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220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33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220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220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221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22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23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33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218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#32'!V12,"OK","Send in Change Order")</f>
        <v>OK</v>
      </c>
      <c r="S12" s="85">
        <v>1</v>
      </c>
      <c r="T12" s="86" t="str">
        <f>'Request #32'!T12</f>
        <v>Land/Site Grading &amp; Improv.</v>
      </c>
      <c r="U12" s="218">
        <f>'Request #32'!U12</f>
        <v>0</v>
      </c>
      <c r="V12" s="87">
        <f>'Request #32'!V12</f>
        <v>0</v>
      </c>
      <c r="W12" s="88">
        <f>SUMIF(F7:F79,1,E7:E79)</f>
        <v>0</v>
      </c>
      <c r="X12" s="88">
        <f>'Request #32'!Y12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#32'!AA12,"OK","Alert,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#32'!V13,"OK","Send in Change Order")</f>
        <v>OK</v>
      </c>
      <c r="S13" s="85">
        <v>2</v>
      </c>
      <c r="T13" s="86" t="str">
        <f>'Request #32'!T13</f>
        <v xml:space="preserve">General Contract </v>
      </c>
      <c r="U13" s="218">
        <f>'Request #32'!U13</f>
        <v>0</v>
      </c>
      <c r="V13" s="87">
        <f>'Request #32'!V13</f>
        <v>0</v>
      </c>
      <c r="W13" s="88">
        <f>SUMIF(F7:F79,2,E7:E79)</f>
        <v>0</v>
      </c>
      <c r="X13" s="88">
        <f>'Request #32'!Y13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#32'!AA13,"OK","Alert,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#32'!V14,"OK","Send in Change Order")</f>
        <v>OK</v>
      </c>
      <c r="S14" s="85">
        <v>3</v>
      </c>
      <c r="T14" s="86" t="str">
        <f>'Request #32'!T14</f>
        <v>Designer Contract</v>
      </c>
      <c r="U14" s="218">
        <f>'Request #32'!U14</f>
        <v>0</v>
      </c>
      <c r="V14" s="87">
        <f>'Request #32'!V14</f>
        <v>0</v>
      </c>
      <c r="W14" s="88">
        <f>SUMIF(F7:F79,3,E7:E79)</f>
        <v>0</v>
      </c>
      <c r="X14" s="88">
        <f>'Request #32'!Y14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#32'!AA14,"OK","Alert,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#32'!V15,"OK","Send in Change Order")</f>
        <v>OK</v>
      </c>
      <c r="S15" s="85">
        <v>4</v>
      </c>
      <c r="T15" s="86" t="str">
        <f>'Request #32'!T15</f>
        <v>Designer Reimbursables</v>
      </c>
      <c r="U15" s="218">
        <f>'Request #32'!U15</f>
        <v>0</v>
      </c>
      <c r="V15" s="87">
        <f>'Request #32'!V15</f>
        <v>0</v>
      </c>
      <c r="W15" s="88">
        <f>SUMIF(F7:F79,4,E7:E79)</f>
        <v>0</v>
      </c>
      <c r="X15" s="88">
        <f>'Request #32'!Y15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#32'!AA15,"OK","Alert,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#32'!V16,"OK","Send in Change Order")</f>
        <v>OK</v>
      </c>
      <c r="S16" s="85">
        <v>5</v>
      </c>
      <c r="T16" s="86" t="str">
        <f>'Request #32'!T16</f>
        <v>Other Contracts</v>
      </c>
      <c r="U16" s="218">
        <f>'Request #32'!U16</f>
        <v>0</v>
      </c>
      <c r="V16" s="87">
        <f>'Request #32'!V16</f>
        <v>0</v>
      </c>
      <c r="W16" s="88">
        <f>SUMIF(F7:F79,5,E7:E79)</f>
        <v>0</v>
      </c>
      <c r="X16" s="88">
        <f>'Request #32'!Y16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#32'!AA16,"OK","Alert,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#32'!V17,"OK","Send in Change Order")</f>
        <v>OK</v>
      </c>
      <c r="S17" s="85">
        <v>6</v>
      </c>
      <c r="T17" s="86" t="str">
        <f>'Request #32'!T17</f>
        <v>Other Contracts</v>
      </c>
      <c r="U17" s="218">
        <f>'Request #32'!U17</f>
        <v>0</v>
      </c>
      <c r="V17" s="87">
        <f>'Request #32'!V17</f>
        <v>0</v>
      </c>
      <c r="W17" s="88">
        <f>SUMIF(F7:F79,6,E7:E79)</f>
        <v>0</v>
      </c>
      <c r="X17" s="88">
        <f>'Request #32'!Y17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#32'!AA17,"OK","Alert,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#32'!V18,"OK","Send in Change Order")</f>
        <v>OK</v>
      </c>
      <c r="S18" s="85">
        <v>7</v>
      </c>
      <c r="T18" s="86" t="str">
        <f>'Request #32'!T18</f>
        <v>Other Contracts</v>
      </c>
      <c r="U18" s="218">
        <f>'Request #32'!U18</f>
        <v>0</v>
      </c>
      <c r="V18" s="87">
        <f>'Request #32'!V18</f>
        <v>0</v>
      </c>
      <c r="W18" s="88">
        <f>SUMIF(F7:F79,7,E7:E79)</f>
        <v>0</v>
      </c>
      <c r="X18" s="88">
        <f>'Request #32'!Y18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#32'!AA18,"OK","Alert,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#32'!V19,"OK","Send in Change Order")</f>
        <v>OK</v>
      </c>
      <c r="S19" s="85">
        <v>8</v>
      </c>
      <c r="T19" s="86" t="str">
        <f>'Request #32'!T19</f>
        <v>Other Contracts</v>
      </c>
      <c r="U19" s="218">
        <f>'Request #32'!U19</f>
        <v>0</v>
      </c>
      <c r="V19" s="87">
        <f>'Request #32'!V19</f>
        <v>0</v>
      </c>
      <c r="W19" s="88">
        <f>SUMIF(F7:F79,8,E7:E79)</f>
        <v>0</v>
      </c>
      <c r="X19" s="88">
        <f>'Request #32'!Y19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#32'!AA19,"OK","Alert,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#32'!V20,"OK","Send in Change Order")</f>
        <v>OK</v>
      </c>
      <c r="S20" s="85">
        <v>9</v>
      </c>
      <c r="T20" s="86" t="str">
        <f>'Request #32'!T20</f>
        <v>Other Contracts</v>
      </c>
      <c r="U20" s="218">
        <f>'Request #32'!U20</f>
        <v>0</v>
      </c>
      <c r="V20" s="87">
        <f>'Request #32'!V20</f>
        <v>0</v>
      </c>
      <c r="W20" s="88">
        <f>SUMIF(F7:F79,9,E7:E79)</f>
        <v>0</v>
      </c>
      <c r="X20" s="88">
        <f>'Request #32'!Y20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#32'!AA20,"OK","Alert,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#32'!V21,"OK","Send in Change Order")</f>
        <v>OK</v>
      </c>
      <c r="S21" s="85">
        <v>10</v>
      </c>
      <c r="T21" s="86" t="str">
        <f>'Request #32'!T21</f>
        <v>Other Contracts</v>
      </c>
      <c r="U21" s="218">
        <f>'Request #32'!U21</f>
        <v>0</v>
      </c>
      <c r="V21" s="87">
        <f>'Request #32'!V21</f>
        <v>0</v>
      </c>
      <c r="W21" s="88">
        <f>SUMIF(F7:F79,10,E7:E79)</f>
        <v>0</v>
      </c>
      <c r="X21" s="88">
        <f>'Request #32'!Y21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#32'!AA21,"OK","Alert,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#32'!V22,"OK","Send in Change Order")</f>
        <v>OK</v>
      </c>
      <c r="S22" s="85">
        <v>11</v>
      </c>
      <c r="T22" s="86" t="str">
        <f>'Request #32'!T22</f>
        <v>Other Contracts</v>
      </c>
      <c r="U22" s="218">
        <f>'Request #32'!U22</f>
        <v>0</v>
      </c>
      <c r="V22" s="87">
        <f>'Request #32'!V22</f>
        <v>0</v>
      </c>
      <c r="W22" s="88">
        <f>SUMIF(F7:F79,11,E7:E79)</f>
        <v>0</v>
      </c>
      <c r="X22" s="88">
        <f>'Request #32'!Y22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#32'!AA22,"OK","Alert,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#32'!V23,"OK","Send in Change Order")</f>
        <v>OK</v>
      </c>
      <c r="S23" s="85">
        <v>12</v>
      </c>
      <c r="T23" s="86" t="str">
        <f>'Request #32'!T23</f>
        <v>Other Contracts</v>
      </c>
      <c r="U23" s="218">
        <f>'Request #32'!U23</f>
        <v>0</v>
      </c>
      <c r="V23" s="87">
        <f>'Request #32'!V23</f>
        <v>0</v>
      </c>
      <c r="W23" s="88">
        <f>SUMIF(F7:F79,12,E7:E79)</f>
        <v>0</v>
      </c>
      <c r="X23" s="88">
        <f>'Request #32'!Y23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#32'!AA23,"OK","Alert,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#32'!V24,"OK","Send in Change Order")</f>
        <v>OK</v>
      </c>
      <c r="S24" s="85">
        <v>13</v>
      </c>
      <c r="T24" s="86" t="str">
        <f>'Request #32'!T24</f>
        <v>Other Contracts</v>
      </c>
      <c r="U24" s="218">
        <f>'Request #32'!U24</f>
        <v>0</v>
      </c>
      <c r="V24" s="87">
        <f>'Request #32'!V24</f>
        <v>0</v>
      </c>
      <c r="W24" s="88">
        <f>SUMIF(F7:F79,13,E7:E79)</f>
        <v>0</v>
      </c>
      <c r="X24" s="88">
        <f>'Request #32'!Y24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#32'!AA24,"OK","Alert,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#32'!V25,"OK","Send in Change Order")</f>
        <v>OK</v>
      </c>
      <c r="S25" s="85">
        <v>14</v>
      </c>
      <c r="T25" s="86" t="str">
        <f>'Request #32'!T25</f>
        <v>Other Contracts</v>
      </c>
      <c r="U25" s="218">
        <f>'Request #32'!U25</f>
        <v>0</v>
      </c>
      <c r="V25" s="87">
        <f>'Request #32'!V25</f>
        <v>0</v>
      </c>
      <c r="W25" s="88">
        <f>SUMIF(F7:F79,14,E7:E79)</f>
        <v>0</v>
      </c>
      <c r="X25" s="88">
        <f>'Request #32'!Y25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#32'!AA25,"OK","Alert,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#32'!V26,"OK","Send in Change Order")</f>
        <v>OK</v>
      </c>
      <c r="S26" s="85">
        <v>15</v>
      </c>
      <c r="T26" s="86" t="str">
        <f>'Request #32'!T26</f>
        <v>Other Contracts</v>
      </c>
      <c r="U26" s="218">
        <f>'Request #32'!U26</f>
        <v>0</v>
      </c>
      <c r="V26" s="87">
        <f>'Request #32'!V26</f>
        <v>0</v>
      </c>
      <c r="W26" s="88">
        <f>SUMIF(F7:F79,15,E7:E79)</f>
        <v>0</v>
      </c>
      <c r="X26" s="88">
        <f>'Request #32'!Y26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#32'!AA26,"OK","Alert,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#32'!V27,"OK","Send in Change Order")</f>
        <v>OK</v>
      </c>
      <c r="S27" s="85">
        <v>16</v>
      </c>
      <c r="T27" s="86" t="str">
        <f>'Request #32'!T27</f>
        <v>Other Contracts</v>
      </c>
      <c r="U27" s="218">
        <f>'Request #32'!U27</f>
        <v>0</v>
      </c>
      <c r="V27" s="87">
        <f>'Request #32'!V27</f>
        <v>0</v>
      </c>
      <c r="W27" s="88">
        <f>SUMIF(F7:F79,16,E7:E79)</f>
        <v>0</v>
      </c>
      <c r="X27" s="88">
        <f>'Request #32'!Y27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#32'!AA27,"OK","Alert,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#32'!V28,"OK","Send in Change Order")</f>
        <v>OK</v>
      </c>
      <c r="S28" s="85">
        <v>17</v>
      </c>
      <c r="T28" s="86" t="str">
        <f>'Request #32'!T28</f>
        <v>Other Contracts</v>
      </c>
      <c r="U28" s="218">
        <f>'Request #32'!U28</f>
        <v>0</v>
      </c>
      <c r="V28" s="87">
        <f>'Request #32'!V28</f>
        <v>0</v>
      </c>
      <c r="W28" s="88">
        <f>SUMIF(F7:F79,17,E7:E79)</f>
        <v>0</v>
      </c>
      <c r="X28" s="88">
        <f>'Request #32'!Y28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#32'!AA28,"OK","Alert,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#32'!V29,"OK","Send in Change Order")</f>
        <v>OK</v>
      </c>
      <c r="S29" s="85">
        <v>18</v>
      </c>
      <c r="T29" s="86" t="str">
        <f>'Request #32'!T29</f>
        <v>Other Contracts</v>
      </c>
      <c r="U29" s="218">
        <f>'Request #32'!U29</f>
        <v>0</v>
      </c>
      <c r="V29" s="87">
        <f>'Request #32'!V29</f>
        <v>0</v>
      </c>
      <c r="W29" s="88">
        <f>SUMIF(F7:F79,18,E7:E79)</f>
        <v>0</v>
      </c>
      <c r="X29" s="88">
        <f>'Request #32'!Y29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#32'!AA29,"OK","Alert,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#32'!V30,"OK","Send in Change Order")</f>
        <v>OK</v>
      </c>
      <c r="S30" s="85">
        <v>19</v>
      </c>
      <c r="T30" s="86" t="str">
        <f>'Request #32'!T30</f>
        <v>Other Contracts</v>
      </c>
      <c r="U30" s="218">
        <f>'Request #32'!U30</f>
        <v>0</v>
      </c>
      <c r="V30" s="87">
        <f>'Request #32'!V30</f>
        <v>0</v>
      </c>
      <c r="W30" s="88">
        <f>SUMIF(F7:F79,19,E7:E79)</f>
        <v>0</v>
      </c>
      <c r="X30" s="88">
        <f>'Request #32'!Y30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#32'!AA30,"OK","Alert,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#32'!V31,"OK","Send in Change Order")</f>
        <v>OK</v>
      </c>
      <c r="S31" s="85">
        <v>20</v>
      </c>
      <c r="T31" s="86" t="str">
        <f>'Request #32'!T31</f>
        <v>Other Contracts</v>
      </c>
      <c r="U31" s="218">
        <f>'Request #32'!U31</f>
        <v>0</v>
      </c>
      <c r="V31" s="87">
        <f>'Request #32'!V31</f>
        <v>0</v>
      </c>
      <c r="W31" s="88">
        <f>SUMIF(F7:F79,20,E7:E79)</f>
        <v>0</v>
      </c>
      <c r="X31" s="88">
        <f>'Request #32'!Y31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#32'!AA31,"OK","Alert,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#32'!V32,"OK","Send in Change Order")</f>
        <v>OK</v>
      </c>
      <c r="S32" s="85">
        <v>21</v>
      </c>
      <c r="T32" s="86" t="str">
        <f>'Request #32'!T32</f>
        <v>Other Contracts</v>
      </c>
      <c r="U32" s="218">
        <f>'Request #32'!U32</f>
        <v>0</v>
      </c>
      <c r="V32" s="87">
        <f>'Request #32'!V32</f>
        <v>0</v>
      </c>
      <c r="W32" s="88">
        <f>SUMIF(F7:F79,21,E7:E79)</f>
        <v>0</v>
      </c>
      <c r="X32" s="88">
        <f>'Request #32'!Y32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#32'!AA32,"OK","Alert,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#32'!V33,"OK","Send in Change Order")</f>
        <v>OK</v>
      </c>
      <c r="S33" s="85">
        <v>22</v>
      </c>
      <c r="T33" s="86" t="str">
        <f>'Request #32'!T33</f>
        <v>Other Contracts</v>
      </c>
      <c r="U33" s="218">
        <f>'Request #32'!U33</f>
        <v>0</v>
      </c>
      <c r="V33" s="87">
        <f>'Request #32'!V33</f>
        <v>0</v>
      </c>
      <c r="W33" s="88">
        <f>SUMIF(F7:F79,22,E7:E79)</f>
        <v>0</v>
      </c>
      <c r="X33" s="88">
        <f>'Request #32'!Y33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#32'!AA33,"OK","Alert,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#32'!V34,"OK","Send in Change Order")</f>
        <v>OK</v>
      </c>
      <c r="S34" s="85">
        <v>23</v>
      </c>
      <c r="T34" s="86" t="str">
        <f>'Request #32'!T34</f>
        <v>Other Contracts</v>
      </c>
      <c r="U34" s="218">
        <f>'Request #32'!U34</f>
        <v>0</v>
      </c>
      <c r="V34" s="87">
        <f>'Request #32'!V34</f>
        <v>0</v>
      </c>
      <c r="W34" s="88">
        <f>SUMIF(F7:F79,23,E7:E79)</f>
        <v>0</v>
      </c>
      <c r="X34" s="88">
        <f>'Request #32'!Y34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#32'!AA34,"OK","Alert,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#32'!V35,"OK","Send in Change Order")</f>
        <v>OK</v>
      </c>
      <c r="S35" s="85">
        <v>24</v>
      </c>
      <c r="T35" s="86" t="str">
        <f>'Request #32'!T35</f>
        <v>Other Contracts</v>
      </c>
      <c r="U35" s="218">
        <f>'Request #32'!U35</f>
        <v>0</v>
      </c>
      <c r="V35" s="87">
        <f>'Request #32'!V35</f>
        <v>0</v>
      </c>
      <c r="W35" s="88">
        <f>SUMIF(F7:F79,24,E7:E79)</f>
        <v>0</v>
      </c>
      <c r="X35" s="88">
        <f>'Request #32'!Y35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#32'!AA35,"OK","Alert,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#32'!V36,"OK","Send in Change Order")</f>
        <v>OK</v>
      </c>
      <c r="S36" s="85">
        <v>25</v>
      </c>
      <c r="T36" s="86" t="str">
        <f>'Request #32'!T36</f>
        <v>Other Contracts</v>
      </c>
      <c r="U36" s="218">
        <f>'Request #32'!U36</f>
        <v>0</v>
      </c>
      <c r="V36" s="87">
        <f>'Request #32'!V36</f>
        <v>0</v>
      </c>
      <c r="W36" s="88">
        <f>SUMIF(F7:F79,25,E7:E79)</f>
        <v>0</v>
      </c>
      <c r="X36" s="88">
        <f>'Request #32'!Y36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#32'!AA36,"OK","Alert,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#32'!V37,"OK","Send in Change Order")</f>
        <v>OK</v>
      </c>
      <c r="S37" s="85">
        <v>26</v>
      </c>
      <c r="T37" s="86" t="str">
        <f>'Request #32'!T37</f>
        <v>Other Fees</v>
      </c>
      <c r="U37" s="218">
        <f>'Request #32'!U37</f>
        <v>0</v>
      </c>
      <c r="V37" s="87">
        <f>'Request #32'!V37</f>
        <v>0</v>
      </c>
      <c r="W37" s="88">
        <f>SUMIF(F7:F79,26,E7:E79)</f>
        <v>0</v>
      </c>
      <c r="X37" s="88">
        <f>'Request #32'!Y37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#32'!AA37,"OK","Alert,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#32'!V38,"OK","Send in Change Order")</f>
        <v>OK</v>
      </c>
      <c r="S38" s="85">
        <v>27</v>
      </c>
      <c r="T38" s="86" t="str">
        <f>'Request #32'!T38</f>
        <v>Other Fees</v>
      </c>
      <c r="U38" s="218">
        <f>'Request #32'!U38</f>
        <v>0</v>
      </c>
      <c r="V38" s="87">
        <f>'Request #32'!V38</f>
        <v>0</v>
      </c>
      <c r="W38" s="88">
        <f>SUMIF(F7:F79,27,E7:E79)</f>
        <v>0</v>
      </c>
      <c r="X38" s="88">
        <f>'Request #32'!Y38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#32'!AA38,"OK","Alert,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#32'!V39,"OK","Send in Change Order")</f>
        <v>OK</v>
      </c>
      <c r="S39" s="85">
        <v>28</v>
      </c>
      <c r="T39" s="86" t="str">
        <f>'Request #32'!T39</f>
        <v>Other Fees</v>
      </c>
      <c r="U39" s="218">
        <f>'Request #32'!U39</f>
        <v>0</v>
      </c>
      <c r="V39" s="87">
        <f>'Request #32'!V39</f>
        <v>0</v>
      </c>
      <c r="W39" s="88">
        <f>SUMIF(F7:F79,28,E7:E79)</f>
        <v>0</v>
      </c>
      <c r="X39" s="88">
        <f>'Request #32'!Y39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#32'!AA39,"OK","Alert,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#32'!V40,"OK","Send in Change Order")</f>
        <v>OK</v>
      </c>
      <c r="S40" s="85">
        <v>29</v>
      </c>
      <c r="T40" s="86" t="str">
        <f>'Request #32'!T40</f>
        <v>Other Fees</v>
      </c>
      <c r="U40" s="218">
        <f>'Request #32'!U40</f>
        <v>0</v>
      </c>
      <c r="V40" s="87">
        <f>'Request #32'!V40</f>
        <v>0</v>
      </c>
      <c r="W40" s="88">
        <f>SUMIF(F7:F79,29,E7:E79)</f>
        <v>0</v>
      </c>
      <c r="X40" s="88">
        <f>'Request #32'!Y40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#32'!AA40,"OK","Alert,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#32'!V41,"OK","Send in Change Order")</f>
        <v>OK</v>
      </c>
      <c r="S41" s="85">
        <v>30</v>
      </c>
      <c r="T41" s="86" t="str">
        <f>'Request #32'!T41</f>
        <v>Other Fees</v>
      </c>
      <c r="U41" s="218">
        <f>'Request #32'!U41</f>
        <v>0</v>
      </c>
      <c r="V41" s="87">
        <f>'Request #32'!V41</f>
        <v>0</v>
      </c>
      <c r="W41" s="88">
        <f>SUMIF(F7:F79,30,E7:E79)</f>
        <v>0</v>
      </c>
      <c r="X41" s="88">
        <f>'Request #32'!Y41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#32'!AA41,"OK","Alert,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#32'!V42,"OK","Send in Change Order")</f>
        <v>OK</v>
      </c>
      <c r="S42" s="85">
        <v>31</v>
      </c>
      <c r="T42" s="86" t="str">
        <f>'Request #32'!T42</f>
        <v>Other Fees</v>
      </c>
      <c r="U42" s="218">
        <f>'Request #32'!U42</f>
        <v>0</v>
      </c>
      <c r="V42" s="87">
        <f>'Request #32'!V42</f>
        <v>0</v>
      </c>
      <c r="W42" s="88">
        <f>SUMIF(F7:F79,31,E7:E79)</f>
        <v>0</v>
      </c>
      <c r="X42" s="88">
        <f>'Request #32'!Y42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#32'!AA42,"OK","Alert,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#32'!V43,"OK","Send in Change Order")</f>
        <v>OK</v>
      </c>
      <c r="S43" s="85">
        <v>32</v>
      </c>
      <c r="T43" s="86" t="str">
        <f>'Request #32'!T43</f>
        <v>Other Fees</v>
      </c>
      <c r="U43" s="218">
        <f>'Request #32'!U43</f>
        <v>0</v>
      </c>
      <c r="V43" s="87">
        <f>'Request #32'!V43</f>
        <v>0</v>
      </c>
      <c r="W43" s="88">
        <f>SUMIF(F7:F79,32,E7:E79)</f>
        <v>0</v>
      </c>
      <c r="X43" s="88">
        <f>'Request #32'!Y43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#32'!AA43,"OK","Alert,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#32'!V44,"OK","Send in Change Order")</f>
        <v>OK</v>
      </c>
      <c r="S44" s="85">
        <v>33</v>
      </c>
      <c r="T44" s="86" t="str">
        <f>'Request #32'!T44</f>
        <v>Other Fees</v>
      </c>
      <c r="U44" s="218">
        <f>'Request #32'!U44</f>
        <v>0</v>
      </c>
      <c r="V44" s="87">
        <f>'Request #32'!V44</f>
        <v>0</v>
      </c>
      <c r="W44" s="88">
        <f>SUMIF(F7:F79,33,E7:E79)</f>
        <v>0</v>
      </c>
      <c r="X44" s="88">
        <f>'Request #32'!Y44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#32'!AA44,"OK","Alert,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#32'!V49,"OK","Send in Change Order")</f>
        <v>OK</v>
      </c>
      <c r="S49" s="85">
        <v>38</v>
      </c>
      <c r="T49" s="86" t="str">
        <f>'Request #32'!T49</f>
        <v>Other Fees</v>
      </c>
      <c r="U49" s="218">
        <f>'Request #32'!U49</f>
        <v>0</v>
      </c>
      <c r="V49" s="87">
        <f>'Request #32'!V49</f>
        <v>0</v>
      </c>
      <c r="W49" s="88">
        <f>SUMIF(F7:F79,38,E7:E79)</f>
        <v>0</v>
      </c>
      <c r="X49" s="88">
        <f>'Request #32'!Y49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#32'!AA49,"OK","Alert,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#32'!V50,"OK","Send in Change Order")</f>
        <v>OK</v>
      </c>
      <c r="S50" s="85">
        <v>39</v>
      </c>
      <c r="T50" s="86" t="str">
        <f>'Request #32'!T50</f>
        <v>Other Fees</v>
      </c>
      <c r="U50" s="218">
        <f>'Request #32'!U50</f>
        <v>0</v>
      </c>
      <c r="V50" s="87">
        <f>'Request #32'!V50</f>
        <v>0</v>
      </c>
      <c r="W50" s="88">
        <f>SUMIF(F7:F79,39,E7:E79)</f>
        <v>0</v>
      </c>
      <c r="X50" s="88">
        <f>'Request #32'!Y50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#32'!AA50,"OK","Alert,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#32'!V51,"OK","Send in Change Order")</f>
        <v>OK</v>
      </c>
      <c r="S51" s="85">
        <v>40</v>
      </c>
      <c r="T51" s="86" t="str">
        <f>'Request #32'!T51</f>
        <v>Other Fees</v>
      </c>
      <c r="U51" s="218">
        <f>'Request #32'!U51</f>
        <v>0</v>
      </c>
      <c r="V51" s="87">
        <f>'Request #32'!V51</f>
        <v>0</v>
      </c>
      <c r="W51" s="88">
        <f>SUMIF(F7:F79,40,E7:E79)</f>
        <v>0</v>
      </c>
      <c r="X51" s="88">
        <f>'Request #32'!Y51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#32'!AA51,"OK","Alert,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#32'!V52,"OK","Send in Change Order")</f>
        <v>OK</v>
      </c>
      <c r="S52" s="85">
        <v>41</v>
      </c>
      <c r="T52" s="86" t="str">
        <f>'Request #32'!T52</f>
        <v>Other Fees</v>
      </c>
      <c r="U52" s="218">
        <f>'Request #32'!U52</f>
        <v>0</v>
      </c>
      <c r="V52" s="87">
        <f>'Request #32'!V52</f>
        <v>0</v>
      </c>
      <c r="W52" s="88">
        <f>SUMIF(F7:F79,41,E7:E79)</f>
        <v>0</v>
      </c>
      <c r="X52" s="88">
        <f>'Request #32'!Y52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#32'!AA52,"OK","Alert,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#32'!V53,"OK","Send in Change Order")</f>
        <v>OK</v>
      </c>
      <c r="S53" s="85">
        <v>42</v>
      </c>
      <c r="T53" s="86" t="str">
        <f>'Request #32'!T53</f>
        <v>Other Fees</v>
      </c>
      <c r="U53" s="218">
        <f>'Request #32'!U53</f>
        <v>0</v>
      </c>
      <c r="V53" s="87">
        <f>'Request #32'!V53</f>
        <v>0</v>
      </c>
      <c r="W53" s="88">
        <f>SUMIF(F7:F79,42,E7:E79)</f>
        <v>0</v>
      </c>
      <c r="X53" s="88">
        <f>'Request #32'!Y53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#32'!AA53,"OK","Alert,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#32'!V54,"OK","Send in Change Order")</f>
        <v>OK</v>
      </c>
      <c r="S54" s="85">
        <v>43</v>
      </c>
      <c r="T54" s="86" t="str">
        <f>'Request #32'!T54</f>
        <v>Other Fees</v>
      </c>
      <c r="U54" s="218">
        <f>'Request #32'!U54</f>
        <v>0</v>
      </c>
      <c r="V54" s="87">
        <f>'Request #32'!V54</f>
        <v>0</v>
      </c>
      <c r="W54" s="88">
        <f>SUMIF(F7:F79,43,E7:E79)</f>
        <v>0</v>
      </c>
      <c r="X54" s="88">
        <f>'Request #32'!Y54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#32'!AA54,"OK","Alert,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#32'!V55,"OK","Send in Change Order")</f>
        <v>OK</v>
      </c>
      <c r="S55" s="85">
        <v>44</v>
      </c>
      <c r="T55" s="86" t="str">
        <f>'Request #32'!T55</f>
        <v>Other Fees</v>
      </c>
      <c r="U55" s="218">
        <f>'Request #32'!U55</f>
        <v>0</v>
      </c>
      <c r="V55" s="87">
        <f>'Request #32'!V55</f>
        <v>0</v>
      </c>
      <c r="W55" s="88">
        <f>SUMIF(F7:F79,44,E7:E79)</f>
        <v>0</v>
      </c>
      <c r="X55" s="88">
        <f>'Request #32'!Y55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#32'!AA55,"OK","Alert,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#32'!V56,"OK","Send in Change Order")</f>
        <v>OK</v>
      </c>
      <c r="S56" s="85">
        <v>45</v>
      </c>
      <c r="T56" s="86" t="str">
        <f>'Request #32'!T56</f>
        <v>Other Fees</v>
      </c>
      <c r="U56" s="218">
        <f>'Request #32'!U56</f>
        <v>0</v>
      </c>
      <c r="V56" s="87">
        <f>'Request #32'!V56</f>
        <v>0</v>
      </c>
      <c r="W56" s="88">
        <f>SUMIF(F7:F79,45,E7:E79)</f>
        <v>0</v>
      </c>
      <c r="X56" s="88">
        <f>'Request #32'!Y56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#32'!AA56,"OK","Alert,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#32'!V57,"OK","Send in Change Order")</f>
        <v>OK</v>
      </c>
      <c r="S57" s="85">
        <v>46</v>
      </c>
      <c r="T57" s="86" t="str">
        <f>'Request #32'!T57</f>
        <v>Other Fees</v>
      </c>
      <c r="U57" s="218">
        <f>'Request #32'!U57</f>
        <v>0</v>
      </c>
      <c r="V57" s="87">
        <f>'Request #32'!V57</f>
        <v>0</v>
      </c>
      <c r="W57" s="88">
        <f>SUMIF(F7:F79,46,E7:E79)</f>
        <v>0</v>
      </c>
      <c r="X57" s="88">
        <f>'Request #32'!Y57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#32'!AA57,"OK","Alert,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#32'!V58,"OK","Send in Change Order")</f>
        <v>OK</v>
      </c>
      <c r="S58" s="85">
        <v>47</v>
      </c>
      <c r="T58" s="86" t="str">
        <f>'Request #32'!T58</f>
        <v>Other Fees</v>
      </c>
      <c r="U58" s="218">
        <f>'Request #32'!U58</f>
        <v>0</v>
      </c>
      <c r="V58" s="87">
        <f>'Request #32'!V58</f>
        <v>0</v>
      </c>
      <c r="W58" s="88">
        <f>SUMIF(F7:F79,47,E7:E79)</f>
        <v>0</v>
      </c>
      <c r="X58" s="88">
        <f>'Request #32'!Y58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#32'!AA58,"OK","Alert,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#32'!V59,"OK","Send in Change Order")</f>
        <v>OK</v>
      </c>
      <c r="S59" s="85">
        <v>48</v>
      </c>
      <c r="T59" s="86" t="str">
        <f>'Request #32'!T59</f>
        <v>Other Fees</v>
      </c>
      <c r="U59" s="218">
        <f>'Request #32'!U59</f>
        <v>0</v>
      </c>
      <c r="V59" s="87">
        <f>'Request #32'!V59</f>
        <v>0</v>
      </c>
      <c r="W59" s="88">
        <f>SUMIF(F7:F79,48,E7:E79)</f>
        <v>0</v>
      </c>
      <c r="X59" s="88">
        <f>'Request #32'!Y59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#32'!AA59,"OK","Alert,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#32'!V60,"OK","Send in Change Order")</f>
        <v>OK</v>
      </c>
      <c r="S60" s="85">
        <v>49</v>
      </c>
      <c r="T60" s="86" t="str">
        <f>'Request #32'!T60</f>
        <v>Other Fees</v>
      </c>
      <c r="U60" s="218">
        <f>'Request #32'!U60</f>
        <v>0</v>
      </c>
      <c r="V60" s="87">
        <f>'Request #32'!V60</f>
        <v>0</v>
      </c>
      <c r="W60" s="88">
        <f>SUMIF(F7:F79,49,E7:E79)</f>
        <v>0</v>
      </c>
      <c r="X60" s="88">
        <f>'Request #32'!Y60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#32'!AA60,"OK","Alert,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#32'!V61,"OK","Send in Change Order")</f>
        <v>OK</v>
      </c>
      <c r="S61" s="85">
        <v>50</v>
      </c>
      <c r="T61" s="86" t="str">
        <f>'Request #32'!T61</f>
        <v>Other Fees</v>
      </c>
      <c r="U61" s="218">
        <f>'Request #32'!U61</f>
        <v>0</v>
      </c>
      <c r="V61" s="87">
        <f>'Request #32'!V61</f>
        <v>0</v>
      </c>
      <c r="W61" s="88">
        <f>SUMIF(F7:F79,50,E7:E79)</f>
        <v>0</v>
      </c>
      <c r="X61" s="88">
        <f>'Request #32'!Y61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#32'!AA61,"OK","Alert,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#32'!V62,"OK","Send in Change Order")</f>
        <v>OK</v>
      </c>
      <c r="S62" s="85">
        <v>51</v>
      </c>
      <c r="T62" s="86" t="str">
        <f>'Request #32'!T62</f>
        <v>Other Fees</v>
      </c>
      <c r="U62" s="218">
        <f>'Request #32'!U62</f>
        <v>0</v>
      </c>
      <c r="V62" s="87">
        <f>'Request #32'!V62</f>
        <v>0</v>
      </c>
      <c r="W62" s="88">
        <f>SUMIF(F7:F79,51,E7:E79)</f>
        <v>0</v>
      </c>
      <c r="X62" s="88">
        <f>'Request #32'!Y62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#32'!AA62,"OK","Alert,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#32'!V63,"OK","Send in Change Order")</f>
        <v>OK</v>
      </c>
      <c r="S63" s="85">
        <v>52</v>
      </c>
      <c r="T63" s="86" t="str">
        <f>'Request #32'!T63</f>
        <v>Worked Performed by Owner</v>
      </c>
      <c r="U63" s="218">
        <f>'Request #32'!U63</f>
        <v>0</v>
      </c>
      <c r="V63" s="87">
        <f>'Request #32'!V63</f>
        <v>0</v>
      </c>
      <c r="W63" s="88">
        <f>SUMIF(F7:F79,52,E7:E79)</f>
        <v>0</v>
      </c>
      <c r="X63" s="88">
        <f>'Request #32'!Y63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#32'!AA63,"OK","Alert,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#32'!V64,"OK","Send in Change Order")</f>
        <v>OK</v>
      </c>
      <c r="S64" s="85">
        <v>53</v>
      </c>
      <c r="T64" s="86" t="str">
        <f>'Request #32'!T64</f>
        <v>Equipment (Major)</v>
      </c>
      <c r="U64" s="218">
        <f>'Request #32'!U64</f>
        <v>0</v>
      </c>
      <c r="V64" s="87">
        <f>'Request #32'!V64</f>
        <v>0</v>
      </c>
      <c r="W64" s="88">
        <f>SUMIF(F7:F79,53,E7:E79)</f>
        <v>0</v>
      </c>
      <c r="X64" s="88">
        <f>'Request #32'!Y64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#32'!AA64,"OK","Alert,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#32'!V65,"OK","Send in Change Order")</f>
        <v>OK</v>
      </c>
      <c r="S65" s="85">
        <v>54</v>
      </c>
      <c r="T65" s="102" t="s">
        <v>90</v>
      </c>
      <c r="U65" s="218">
        <f>'Request #32'!U65</f>
        <v>0</v>
      </c>
      <c r="V65" s="87">
        <f>'Request #32'!V65</f>
        <v>0</v>
      </c>
      <c r="W65" s="104"/>
      <c r="X65" s="88">
        <f>'Request #32'!Y65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#32'!AA65,"OK","Alert,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#32'!V66,"OK","Send in Change Order")</f>
        <v>OK</v>
      </c>
      <c r="S66" s="85">
        <v>55</v>
      </c>
      <c r="T66" s="86"/>
      <c r="U66" s="218">
        <f>'Request #32'!U66</f>
        <v>0</v>
      </c>
      <c r="V66" s="87">
        <f>'Request #32'!V66</f>
        <v>0</v>
      </c>
      <c r="W66" s="88">
        <f>SUMIF(F7:F79,55,E7:E79)</f>
        <v>0</v>
      </c>
      <c r="X66" s="88">
        <f>'Request #32'!Y66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#32'!AA66,"OK","Alert,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#32'!V67,"OK","Send in Change Order")</f>
        <v>OK</v>
      </c>
      <c r="S67" s="85">
        <v>56</v>
      </c>
      <c r="T67" s="79"/>
      <c r="U67" s="218">
        <f>'Request #32'!U67</f>
        <v>0</v>
      </c>
      <c r="V67" s="87">
        <f>'Request #32'!V67</f>
        <v>0</v>
      </c>
      <c r="W67" s="88">
        <f>SUMIF(F7:F79,56,E7:E79)</f>
        <v>0</v>
      </c>
      <c r="X67" s="88">
        <f>'Request #32'!Y67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#32'!AA67,"OK","Alert,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#32'!V68,"OK","Send in Change Order")</f>
        <v>OK</v>
      </c>
      <c r="S68" s="316" t="s">
        <v>60</v>
      </c>
      <c r="T68" s="317"/>
      <c r="U68" s="224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#32'!AA68,"OK","Alert,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25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226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27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28" t="e">
        <f>V72/V68</f>
        <v>#DIV/0!</v>
      </c>
      <c r="V72" s="88">
        <f>V68-V74-V73</f>
        <v>0</v>
      </c>
      <c r="W72" s="87">
        <v>0</v>
      </c>
      <c r="X72" s="88">
        <f>'Request #32'!Y72</f>
        <v>0</v>
      </c>
      <c r="Y72" s="88">
        <f t="shared" ref="Y72:Y73" si="8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#32'!V73,"OK","Send in Change Order")</f>
        <v>OK</v>
      </c>
      <c r="S73" s="86" t="s">
        <v>95</v>
      </c>
      <c r="T73" s="114"/>
      <c r="U73" s="228" t="e">
        <f>V73/V68</f>
        <v>#DIV/0!</v>
      </c>
      <c r="V73" s="87">
        <f>'Request #32'!V73</f>
        <v>0</v>
      </c>
      <c r="W73" s="87">
        <v>0</v>
      </c>
      <c r="X73" s="88">
        <f>'Request #32'!Y73</f>
        <v>0</v>
      </c>
      <c r="Y73" s="88">
        <f t="shared" si="8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#32'!V74,"OK","Send in Change Order")</f>
        <v>OK</v>
      </c>
      <c r="S74" s="120" t="s">
        <v>96</v>
      </c>
      <c r="T74" s="121"/>
      <c r="U74" s="228" t="e">
        <f>V74/V68</f>
        <v>#DIV/0!</v>
      </c>
      <c r="V74" s="87">
        <f>'Request #32'!V74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221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30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30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31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221"/>
      <c r="V80" s="55"/>
      <c r="W80" s="55"/>
      <c r="X80" s="138"/>
      <c r="Y80" s="45" t="s">
        <v>108</v>
      </c>
      <c r="Z80" s="43"/>
      <c r="AA80" s="88">
        <f>'Request #32'!AA79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33</v>
      </c>
      <c r="V87" s="55"/>
      <c r="W87" s="55"/>
      <c r="X87" s="138"/>
      <c r="Y87" s="45" t="s">
        <v>108</v>
      </c>
      <c r="Z87" s="43"/>
      <c r="AA87" s="88">
        <f>'Request #32'!AA86</f>
        <v>0</v>
      </c>
      <c r="AB87" s="110"/>
    </row>
    <row r="88" spans="1:28" ht="30" customHeight="1" thickBot="1" x14ac:dyDescent="0.35">
      <c r="S88" s="55"/>
      <c r="T88" s="55"/>
      <c r="U88" s="221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221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221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221"/>
      <c r="V91" s="55"/>
      <c r="W91" s="55"/>
      <c r="X91" s="55"/>
    </row>
    <row r="92" spans="1:28" ht="30" customHeight="1" x14ac:dyDescent="0.3">
      <c r="S92" s="55"/>
      <c r="T92" s="55"/>
      <c r="U92" s="221"/>
      <c r="V92" s="55"/>
      <c r="W92" s="55"/>
      <c r="X92" s="55"/>
    </row>
    <row r="93" spans="1:28" ht="30" customHeight="1" x14ac:dyDescent="0.3">
      <c r="S93" s="55"/>
      <c r="T93" s="55"/>
      <c r="U93" s="221"/>
      <c r="V93" s="55"/>
      <c r="W93" s="55"/>
      <c r="X93" s="55"/>
    </row>
    <row r="94" spans="1:28" ht="30" customHeight="1" x14ac:dyDescent="0.3">
      <c r="S94" s="55"/>
      <c r="T94" s="55"/>
      <c r="U94" s="221"/>
      <c r="V94" s="55"/>
      <c r="W94" s="55"/>
      <c r="X94" s="55"/>
    </row>
    <row r="95" spans="1:28" ht="30" customHeight="1" x14ac:dyDescent="0.3">
      <c r="S95" s="55"/>
      <c r="T95" s="55"/>
      <c r="U95" s="221"/>
      <c r="V95" s="55"/>
      <c r="W95" s="55"/>
      <c r="X95" s="55"/>
    </row>
    <row r="96" spans="1:28" ht="30" customHeight="1" x14ac:dyDescent="0.3">
      <c r="S96" s="55"/>
      <c r="T96" s="55"/>
      <c r="U96" s="221"/>
      <c r="V96" s="55"/>
      <c r="W96" s="55"/>
      <c r="X96" s="55"/>
    </row>
    <row r="97" spans="15:24" ht="30" customHeight="1" x14ac:dyDescent="0.3">
      <c r="S97" s="55"/>
      <c r="T97" s="55"/>
      <c r="U97" s="221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q1VOdsO6y/RHMHpQMOX1AVWtW7HdDI+uLipR0ilKFOq/tSiRqCpUTPt5DqoM5pmzWjuozy8xK25GIyvS398qog==" saltValue="Cm/qp/b7UwR1ewXpU6i95g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T10:U10"/>
    <mergeCell ref="C5:C6"/>
    <mergeCell ref="F5:F6"/>
    <mergeCell ref="M5:M6"/>
    <mergeCell ref="P5:P6"/>
    <mergeCell ref="S7:AA7"/>
    <mergeCell ref="Y83:AA83"/>
    <mergeCell ref="Y86:Z86"/>
    <mergeCell ref="S68:T68"/>
    <mergeCell ref="S70:T70"/>
    <mergeCell ref="Y76:AA76"/>
    <mergeCell ref="W77:W79"/>
    <mergeCell ref="Y79:Z79"/>
  </mergeCells>
  <conditionalFormatting sqref="R1:R1048576">
    <cfRule type="containsText" dxfId="142" priority="9" operator="containsText" text="Change">
      <formula>NOT(ISERROR(SEARCH("Change",R1)))</formula>
    </cfRule>
  </conditionalFormatting>
  <conditionalFormatting sqref="R45:R48">
    <cfRule type="cellIs" dxfId="141" priority="7" operator="equal">
      <formula>"Send in Change Order"</formula>
    </cfRule>
  </conditionalFormatting>
  <conditionalFormatting sqref="W68">
    <cfRule type="cellIs" dxfId="140" priority="2" operator="notEqual">
      <formula>$E$82</formula>
    </cfRule>
    <cfRule type="cellIs" dxfId="139" priority="3" operator="greaterThan">
      <formula>$E$82</formula>
    </cfRule>
    <cfRule type="cellIs" dxfId="138" priority="4" operator="notEqual">
      <formula>$E$82</formula>
    </cfRule>
  </conditionalFormatting>
  <conditionalFormatting sqref="Z12:Z44">
    <cfRule type="cellIs" dxfId="137" priority="8" operator="lessThan">
      <formula>0</formula>
    </cfRule>
  </conditionalFormatting>
  <conditionalFormatting sqref="Z49:Z68">
    <cfRule type="cellIs" dxfId="136" priority="5" operator="lessThan">
      <formula>0</formula>
    </cfRule>
  </conditionalFormatting>
  <conditionalFormatting sqref="AA68">
    <cfRule type="cellIs" dxfId="135" priority="1" operator="notEqual">
      <formula>$O$82</formula>
    </cfRule>
  </conditionalFormatting>
  <conditionalFormatting sqref="AB1:AB1048576">
    <cfRule type="containsText" dxfId="134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1" manualBreakCount="11">
    <brk id="6" max="88" man="1"/>
    <brk id="10" max="1048575" man="1"/>
    <brk id="16" max="88" man="1"/>
    <brk id="18" max="1048575" man="1"/>
    <brk id="27" max="88" man="1"/>
    <brk id="29" max="1048575" man="1"/>
    <brk id="52" max="1048575" man="1"/>
    <brk id="99" max="1048575" man="1"/>
    <brk id="101" max="1048575" man="1"/>
    <brk id="110" max="1048575" man="1"/>
    <brk id="111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4414062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88671875" style="50" customWidth="1"/>
    <col min="19" max="19" width="6.44140625" style="39" customWidth="1"/>
    <col min="20" max="20" width="30.77734375" style="39" customWidth="1"/>
    <col min="21" max="21" width="17.77734375" style="219" customWidth="1"/>
    <col min="22" max="27" width="18.88671875" style="39" customWidth="1"/>
    <col min="28" max="28" width="24.7773437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220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34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220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220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38">
        <f>'Project Info'!F7</f>
        <v>0</v>
      </c>
    </row>
    <row r="6" spans="1:33" s="37" customFormat="1" ht="30" customHeight="1" x14ac:dyDescent="0.3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221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39"/>
    </row>
    <row r="7" spans="1:33" ht="30" customHeight="1" x14ac:dyDescent="0.35">
      <c r="A7" s="152">
        <v>41372</v>
      </c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>
        <v>41373</v>
      </c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22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>
        <v>41374</v>
      </c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23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34</v>
      </c>
    </row>
    <row r="10" spans="1:33" ht="30" customHeight="1" x14ac:dyDescent="0.35">
      <c r="A10" s="159">
        <v>41375</v>
      </c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288"/>
    </row>
    <row r="11" spans="1:33" ht="30" customHeight="1" x14ac:dyDescent="0.35">
      <c r="A11" s="159">
        <v>41377</v>
      </c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218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  <c r="AG11" s="285"/>
    </row>
    <row r="12" spans="1:33" ht="30" customHeight="1" x14ac:dyDescent="0.3">
      <c r="A12" s="152">
        <v>41378</v>
      </c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#33'!V12,"OK","Send in Change Order")</f>
        <v>OK</v>
      </c>
      <c r="S12" s="85">
        <v>1</v>
      </c>
      <c r="T12" s="86" t="str">
        <f>'Request #33'!T12</f>
        <v>Land/Site Grading &amp; Improv.</v>
      </c>
      <c r="U12" s="218">
        <f>'Request #33'!U12</f>
        <v>0</v>
      </c>
      <c r="V12" s="87">
        <f>'Request #33'!V12</f>
        <v>0</v>
      </c>
      <c r="W12" s="88">
        <f>SUMIF(F7:F79,1,E7:E79)</f>
        <v>0</v>
      </c>
      <c r="X12" s="88">
        <f>'Request #33'!Y12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#33'!AA12,"OK","Alert,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#33'!V13,"OK","Send in Change Order")</f>
        <v>OK</v>
      </c>
      <c r="S13" s="85">
        <v>2</v>
      </c>
      <c r="T13" s="86" t="str">
        <f>'Request #33'!T13</f>
        <v xml:space="preserve">General Contract </v>
      </c>
      <c r="U13" s="218">
        <f>'Request #33'!U13</f>
        <v>0</v>
      </c>
      <c r="V13" s="87">
        <f>'Request #33'!V13</f>
        <v>0</v>
      </c>
      <c r="W13" s="88">
        <f>SUMIF(F7:F79,2,E7:E79)</f>
        <v>0</v>
      </c>
      <c r="X13" s="88">
        <f>'Request #33'!Y13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#33'!AA13,"OK","Alert,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#33'!V14,"OK","Send in Change Order")</f>
        <v>OK</v>
      </c>
      <c r="S14" s="85">
        <v>3</v>
      </c>
      <c r="T14" s="86" t="str">
        <f>'Request #33'!T14</f>
        <v>Designer Contract</v>
      </c>
      <c r="U14" s="218">
        <f>'Request #33'!U14</f>
        <v>0</v>
      </c>
      <c r="V14" s="87">
        <f>'Request #33'!V14</f>
        <v>0</v>
      </c>
      <c r="W14" s="88">
        <f>SUMIF(F7:F79,3,E7:E79)</f>
        <v>0</v>
      </c>
      <c r="X14" s="88">
        <f>'Request #33'!Y14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#33'!AA14,"OK","Alert,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#33'!V15,"OK","Send in Change Order")</f>
        <v>OK</v>
      </c>
      <c r="S15" s="85">
        <v>4</v>
      </c>
      <c r="T15" s="86" t="str">
        <f>'Request #33'!T15</f>
        <v>Designer Reimbursables</v>
      </c>
      <c r="U15" s="218">
        <f>'Request #33'!U15</f>
        <v>0</v>
      </c>
      <c r="V15" s="87">
        <f>'Request #33'!V15</f>
        <v>0</v>
      </c>
      <c r="W15" s="88">
        <f>SUMIF(F7:F79,4,E7:E79)</f>
        <v>0</v>
      </c>
      <c r="X15" s="88">
        <f>'Request #33'!Y15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#33'!AA15,"OK","Alert,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#33'!V16,"OK","Send in Change Order")</f>
        <v>OK</v>
      </c>
      <c r="S16" s="85">
        <v>5</v>
      </c>
      <c r="T16" s="86" t="str">
        <f>'Request #33'!T16</f>
        <v>Other Contracts</v>
      </c>
      <c r="U16" s="218">
        <f>'Request #33'!U16</f>
        <v>0</v>
      </c>
      <c r="V16" s="87">
        <f>'Request #33'!V16</f>
        <v>0</v>
      </c>
      <c r="W16" s="88">
        <f>SUMIF(F7:F79,5,E7:E79)</f>
        <v>0</v>
      </c>
      <c r="X16" s="88">
        <f>'Request #33'!Y16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#33'!AA16,"OK","Alert,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#33'!V17,"OK","Send in Change Order")</f>
        <v>OK</v>
      </c>
      <c r="S17" s="85">
        <v>6</v>
      </c>
      <c r="T17" s="86" t="str">
        <f>'Request #33'!T17</f>
        <v>Other Contracts</v>
      </c>
      <c r="U17" s="218">
        <f>'Request #33'!U17</f>
        <v>0</v>
      </c>
      <c r="V17" s="87">
        <f>'Request #33'!V17</f>
        <v>0</v>
      </c>
      <c r="W17" s="88">
        <f>SUMIF(F7:F79,6,E7:E79)</f>
        <v>0</v>
      </c>
      <c r="X17" s="88">
        <f>'Request #33'!Y17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#33'!AA17,"OK","Alert,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#33'!V18,"OK","Send in Change Order")</f>
        <v>OK</v>
      </c>
      <c r="S18" s="85">
        <v>7</v>
      </c>
      <c r="T18" s="86" t="str">
        <f>'Request #33'!T18</f>
        <v>Other Contracts</v>
      </c>
      <c r="U18" s="218">
        <f>'Request #33'!U18</f>
        <v>0</v>
      </c>
      <c r="V18" s="87">
        <f>'Request #33'!V18</f>
        <v>0</v>
      </c>
      <c r="W18" s="88">
        <f>SUMIF(F7:F79,7,E7:E79)</f>
        <v>0</v>
      </c>
      <c r="X18" s="88">
        <f>'Request #33'!Y18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#33'!AA18,"OK","Alert,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#33'!V19,"OK","Send in Change Order")</f>
        <v>OK</v>
      </c>
      <c r="S19" s="85">
        <v>8</v>
      </c>
      <c r="T19" s="86" t="str">
        <f>'Request #33'!T19</f>
        <v>Other Contracts</v>
      </c>
      <c r="U19" s="218">
        <f>'Request #33'!U19</f>
        <v>0</v>
      </c>
      <c r="V19" s="87">
        <f>'Request #33'!V19</f>
        <v>0</v>
      </c>
      <c r="W19" s="88">
        <f>SUMIF(F7:F79,8,E7:E79)</f>
        <v>0</v>
      </c>
      <c r="X19" s="88">
        <f>'Request #33'!Y19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#33'!AA19,"OK","Alert,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#33'!V20,"OK","Send in Change Order")</f>
        <v>OK</v>
      </c>
      <c r="S20" s="85">
        <v>9</v>
      </c>
      <c r="T20" s="86" t="str">
        <f>'Request #33'!T20</f>
        <v>Other Contracts</v>
      </c>
      <c r="U20" s="218">
        <f>'Request #33'!U20</f>
        <v>0</v>
      </c>
      <c r="V20" s="87">
        <f>'Request #33'!V20</f>
        <v>0</v>
      </c>
      <c r="W20" s="88">
        <f>SUMIF(F7:F79,9,E7:E79)</f>
        <v>0</v>
      </c>
      <c r="X20" s="88">
        <f>'Request #33'!Y20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#33'!AA20,"OK","Alert,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#33'!V21,"OK","Send in Change Order")</f>
        <v>OK</v>
      </c>
      <c r="S21" s="85">
        <v>10</v>
      </c>
      <c r="T21" s="86" t="str">
        <f>'Request #33'!T21</f>
        <v>Other Contracts</v>
      </c>
      <c r="U21" s="218">
        <f>'Request #33'!U21</f>
        <v>0</v>
      </c>
      <c r="V21" s="87">
        <f>'Request #33'!V21</f>
        <v>0</v>
      </c>
      <c r="W21" s="88">
        <f>SUMIF(F7:F79,10,E7:E79)</f>
        <v>0</v>
      </c>
      <c r="X21" s="88">
        <f>'Request #33'!Y21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#33'!AA21,"OK","Alert,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#33'!V22,"OK","Send in Change Order")</f>
        <v>OK</v>
      </c>
      <c r="S22" s="85">
        <v>11</v>
      </c>
      <c r="T22" s="86" t="str">
        <f>'Request #33'!T22</f>
        <v>Other Contracts</v>
      </c>
      <c r="U22" s="218">
        <f>'Request #33'!U22</f>
        <v>0</v>
      </c>
      <c r="V22" s="87">
        <f>'Request #33'!V22</f>
        <v>0</v>
      </c>
      <c r="W22" s="88">
        <f>SUMIF(F7:F79,11,E7:E79)</f>
        <v>0</v>
      </c>
      <c r="X22" s="88">
        <f>'Request #33'!Y22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#33'!AA22,"OK","Alert,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#33'!V23,"OK","Send in Change Order")</f>
        <v>OK</v>
      </c>
      <c r="S23" s="85">
        <v>12</v>
      </c>
      <c r="T23" s="86" t="str">
        <f>'Request #33'!T23</f>
        <v>Other Contracts</v>
      </c>
      <c r="U23" s="218">
        <f>'Request #33'!U23</f>
        <v>0</v>
      </c>
      <c r="V23" s="87">
        <f>'Request #33'!V23</f>
        <v>0</v>
      </c>
      <c r="W23" s="88">
        <f>SUMIF(F7:F79,12,E7:E79)</f>
        <v>0</v>
      </c>
      <c r="X23" s="88">
        <f>'Request #33'!Y23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#33'!AA23,"OK","Alert,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#33'!V24,"OK","Send in Change Order")</f>
        <v>OK</v>
      </c>
      <c r="S24" s="85">
        <v>13</v>
      </c>
      <c r="T24" s="86" t="str">
        <f>'Request #33'!T24</f>
        <v>Other Contracts</v>
      </c>
      <c r="U24" s="218">
        <f>'Request #33'!U24</f>
        <v>0</v>
      </c>
      <c r="V24" s="87">
        <f>'Request #33'!V24</f>
        <v>0</v>
      </c>
      <c r="W24" s="88">
        <f>SUMIF(F7:F79,13,E7:E79)</f>
        <v>0</v>
      </c>
      <c r="X24" s="88">
        <f>'Request #33'!Y24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#33'!AA24,"OK","Alert,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#33'!V25,"OK","Send in Change Order")</f>
        <v>OK</v>
      </c>
      <c r="S25" s="85">
        <v>14</v>
      </c>
      <c r="T25" s="86" t="str">
        <f>'Request #33'!T25</f>
        <v>Other Contracts</v>
      </c>
      <c r="U25" s="218">
        <f>'Request #33'!U25</f>
        <v>0</v>
      </c>
      <c r="V25" s="87">
        <f>'Request #33'!V25</f>
        <v>0</v>
      </c>
      <c r="W25" s="88">
        <f>SUMIF(F7:F79,14,E7:E79)</f>
        <v>0</v>
      </c>
      <c r="X25" s="88">
        <f>'Request #33'!Y25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#33'!AA25,"OK","Alert,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#33'!V26,"OK","Send in Change Order")</f>
        <v>OK</v>
      </c>
      <c r="S26" s="85">
        <v>15</v>
      </c>
      <c r="T26" s="86" t="str">
        <f>'Request #33'!T26</f>
        <v>Other Contracts</v>
      </c>
      <c r="U26" s="218">
        <f>'Request #33'!U26</f>
        <v>0</v>
      </c>
      <c r="V26" s="87">
        <f>'Request #33'!V26</f>
        <v>0</v>
      </c>
      <c r="W26" s="88">
        <f>SUMIF(F7:F79,15,E7:E79)</f>
        <v>0</v>
      </c>
      <c r="X26" s="88">
        <f>'Request #33'!Y26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#33'!AA26,"OK","Alert,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#33'!V27,"OK","Send in Change Order")</f>
        <v>OK</v>
      </c>
      <c r="S27" s="85">
        <v>16</v>
      </c>
      <c r="T27" s="86" t="str">
        <f>'Request #33'!T27</f>
        <v>Other Contracts</v>
      </c>
      <c r="U27" s="218">
        <f>'Request #33'!U27</f>
        <v>0</v>
      </c>
      <c r="V27" s="87">
        <f>'Request #33'!V27</f>
        <v>0</v>
      </c>
      <c r="W27" s="88">
        <f>SUMIF(F7:F79,16,E7:E79)</f>
        <v>0</v>
      </c>
      <c r="X27" s="88">
        <f>'Request #33'!Y27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#33'!AA27,"OK","Alert,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#33'!V28,"OK","Send in Change Order")</f>
        <v>OK</v>
      </c>
      <c r="S28" s="85">
        <v>17</v>
      </c>
      <c r="T28" s="86" t="str">
        <f>'Request #33'!T28</f>
        <v>Other Contracts</v>
      </c>
      <c r="U28" s="218">
        <f>'Request #33'!U28</f>
        <v>0</v>
      </c>
      <c r="V28" s="87">
        <f>'Request #33'!V28</f>
        <v>0</v>
      </c>
      <c r="W28" s="88">
        <f>SUMIF(F7:F79,17,E7:E79)</f>
        <v>0</v>
      </c>
      <c r="X28" s="88">
        <f>'Request #33'!Y28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#33'!AA28,"OK","Alert,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#33'!V29,"OK","Send in Change Order")</f>
        <v>OK</v>
      </c>
      <c r="S29" s="85">
        <v>18</v>
      </c>
      <c r="T29" s="86" t="str">
        <f>'Request #33'!T29</f>
        <v>Other Contracts</v>
      </c>
      <c r="U29" s="218">
        <f>'Request #33'!U29</f>
        <v>0</v>
      </c>
      <c r="V29" s="87">
        <f>'Request #33'!V29</f>
        <v>0</v>
      </c>
      <c r="W29" s="88">
        <f>SUMIF(F7:F79,18,E7:E79)</f>
        <v>0</v>
      </c>
      <c r="X29" s="88">
        <f>'Request #33'!Y29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#33'!AA29,"OK","Alert,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#33'!V30,"OK","Send in Change Order")</f>
        <v>OK</v>
      </c>
      <c r="S30" s="85">
        <v>19</v>
      </c>
      <c r="T30" s="86" t="str">
        <f>'Request #33'!T30</f>
        <v>Other Contracts</v>
      </c>
      <c r="U30" s="218">
        <f>'Request #33'!U30</f>
        <v>0</v>
      </c>
      <c r="V30" s="87">
        <f>'Request #33'!V30</f>
        <v>0</v>
      </c>
      <c r="W30" s="88">
        <f>SUMIF(F7:F79,19,E7:E79)</f>
        <v>0</v>
      </c>
      <c r="X30" s="88">
        <f>'Request #33'!Y30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#33'!AA30,"OK","Alert,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#33'!V31,"OK","Send in Change Order")</f>
        <v>OK</v>
      </c>
      <c r="S31" s="85">
        <v>20</v>
      </c>
      <c r="T31" s="86" t="str">
        <f>'Request #33'!T31</f>
        <v>Other Contracts</v>
      </c>
      <c r="U31" s="218">
        <f>'Request #33'!U31</f>
        <v>0</v>
      </c>
      <c r="V31" s="87">
        <f>'Request #33'!V31</f>
        <v>0</v>
      </c>
      <c r="W31" s="88">
        <f>SUMIF(F7:F79,20,E7:E79)</f>
        <v>0</v>
      </c>
      <c r="X31" s="88">
        <f>'Request #33'!Y31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#33'!AA31,"OK","Alert,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#33'!V32,"OK","Send in Change Order")</f>
        <v>OK</v>
      </c>
      <c r="S32" s="85">
        <v>21</v>
      </c>
      <c r="T32" s="86" t="str">
        <f>'Request #33'!T32</f>
        <v>Other Contracts</v>
      </c>
      <c r="U32" s="218">
        <f>'Request #33'!U32</f>
        <v>0</v>
      </c>
      <c r="V32" s="87">
        <f>'Request #33'!V32</f>
        <v>0</v>
      </c>
      <c r="W32" s="88">
        <f>SUMIF(F7:F79,21,E7:E79)</f>
        <v>0</v>
      </c>
      <c r="X32" s="88">
        <f>'Request #33'!Y32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#33'!AA32,"OK","Alert,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#33'!V33,"OK","Send in Change Order")</f>
        <v>OK</v>
      </c>
      <c r="S33" s="85">
        <v>22</v>
      </c>
      <c r="T33" s="86" t="str">
        <f>'Request #33'!T33</f>
        <v>Other Contracts</v>
      </c>
      <c r="U33" s="218">
        <f>'Request #33'!U33</f>
        <v>0</v>
      </c>
      <c r="V33" s="87">
        <f>'Request #33'!V33</f>
        <v>0</v>
      </c>
      <c r="W33" s="88">
        <f>SUMIF(F7:F79,22,E7:E79)</f>
        <v>0</v>
      </c>
      <c r="X33" s="88">
        <f>'Request #33'!Y33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#33'!AA33,"OK","Alert,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#33'!V34,"OK","Send in Change Order")</f>
        <v>OK</v>
      </c>
      <c r="S34" s="85">
        <v>23</v>
      </c>
      <c r="T34" s="86" t="str">
        <f>'Request #33'!T34</f>
        <v>Other Contracts</v>
      </c>
      <c r="U34" s="218">
        <f>'Request #33'!U34</f>
        <v>0</v>
      </c>
      <c r="V34" s="87">
        <f>'Request #33'!V34</f>
        <v>0</v>
      </c>
      <c r="W34" s="88">
        <f>SUMIF(F7:F79,23,E7:E79)</f>
        <v>0</v>
      </c>
      <c r="X34" s="88">
        <f>'Request #33'!Y34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#33'!AA34,"OK","Alert,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#33'!V35,"OK","Send in Change Order")</f>
        <v>OK</v>
      </c>
      <c r="S35" s="85">
        <v>24</v>
      </c>
      <c r="T35" s="86" t="str">
        <f>'Request #33'!T35</f>
        <v>Other Contracts</v>
      </c>
      <c r="U35" s="218">
        <f>'Request #33'!U35</f>
        <v>0</v>
      </c>
      <c r="V35" s="87">
        <f>'Request #33'!V35</f>
        <v>0</v>
      </c>
      <c r="W35" s="88">
        <f>SUMIF(F7:F79,24,E7:E79)</f>
        <v>0</v>
      </c>
      <c r="X35" s="88">
        <f>'Request #33'!Y35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#33'!AA35,"OK","Alert,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#33'!V36,"OK","Send in Change Order")</f>
        <v>OK</v>
      </c>
      <c r="S36" s="85">
        <v>25</v>
      </c>
      <c r="T36" s="86" t="str">
        <f>'Request #33'!T36</f>
        <v>Other Contracts</v>
      </c>
      <c r="U36" s="218">
        <f>'Request #33'!U36</f>
        <v>0</v>
      </c>
      <c r="V36" s="87">
        <f>'Request #33'!V36</f>
        <v>0</v>
      </c>
      <c r="W36" s="88">
        <f>SUMIF(F7:F79,25,E7:E79)</f>
        <v>0</v>
      </c>
      <c r="X36" s="88">
        <f>'Request #33'!Y36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#33'!AA36,"OK","Alert,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#33'!V37,"OK","Send in Change Order")</f>
        <v>OK</v>
      </c>
      <c r="S37" s="85">
        <v>26</v>
      </c>
      <c r="T37" s="86" t="str">
        <f>'Request #33'!T37</f>
        <v>Other Fees</v>
      </c>
      <c r="U37" s="218">
        <f>'Request #33'!U37</f>
        <v>0</v>
      </c>
      <c r="V37" s="87">
        <f>'Request #33'!V37</f>
        <v>0</v>
      </c>
      <c r="W37" s="88">
        <f>SUMIF(F7:F79,26,E7:E79)</f>
        <v>0</v>
      </c>
      <c r="X37" s="88">
        <f>'Request #33'!Y37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#33'!AA37,"OK","Alert,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#33'!V38,"OK","Send in Change Order")</f>
        <v>OK</v>
      </c>
      <c r="S38" s="85">
        <v>27</v>
      </c>
      <c r="T38" s="86" t="str">
        <f>'Request #33'!T38</f>
        <v>Other Fees</v>
      </c>
      <c r="U38" s="218">
        <f>'Request #33'!U38</f>
        <v>0</v>
      </c>
      <c r="V38" s="87">
        <f>'Request #33'!V38</f>
        <v>0</v>
      </c>
      <c r="W38" s="88">
        <f>SUMIF(F7:F79,27,E7:E79)</f>
        <v>0</v>
      </c>
      <c r="X38" s="88">
        <f>'Request #33'!Y38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#33'!AA38,"OK","Alert,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#33'!V39,"OK","Send in Change Order")</f>
        <v>OK</v>
      </c>
      <c r="S39" s="85">
        <v>28</v>
      </c>
      <c r="T39" s="86" t="str">
        <f>'Request #33'!T39</f>
        <v>Other Fees</v>
      </c>
      <c r="U39" s="218">
        <f>'Request #33'!U39</f>
        <v>0</v>
      </c>
      <c r="V39" s="87">
        <f>'Request #33'!V39</f>
        <v>0</v>
      </c>
      <c r="W39" s="88">
        <f>SUMIF(F7:F79,28,E7:E79)</f>
        <v>0</v>
      </c>
      <c r="X39" s="88">
        <f>'Request #33'!Y39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#33'!AA39,"OK","Alert,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#33'!V40,"OK","Send in Change Order")</f>
        <v>OK</v>
      </c>
      <c r="S40" s="85">
        <v>29</v>
      </c>
      <c r="T40" s="86" t="str">
        <f>'Request #33'!T40</f>
        <v>Other Fees</v>
      </c>
      <c r="U40" s="218">
        <f>'Request #33'!U40</f>
        <v>0</v>
      </c>
      <c r="V40" s="87">
        <f>'Request #33'!V40</f>
        <v>0</v>
      </c>
      <c r="W40" s="88">
        <f>SUMIF(F7:F79,29,E7:E79)</f>
        <v>0</v>
      </c>
      <c r="X40" s="88">
        <f>'Request #33'!Y40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#33'!AA40,"OK","Alert,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#33'!V41,"OK","Send in Change Order")</f>
        <v>OK</v>
      </c>
      <c r="S41" s="85">
        <v>30</v>
      </c>
      <c r="T41" s="86" t="str">
        <f>'Request #33'!T41</f>
        <v>Other Fees</v>
      </c>
      <c r="U41" s="218">
        <f>'Request #33'!U41</f>
        <v>0</v>
      </c>
      <c r="V41" s="87">
        <f>'Request #33'!V41</f>
        <v>0</v>
      </c>
      <c r="W41" s="88">
        <f>SUMIF(F7:F79,30,E7:E79)</f>
        <v>0</v>
      </c>
      <c r="X41" s="88">
        <f>'Request #33'!Y41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#33'!AA41,"OK","Alert,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#33'!V42,"OK","Send in Change Order")</f>
        <v>OK</v>
      </c>
      <c r="S42" s="85">
        <v>31</v>
      </c>
      <c r="T42" s="86" t="str">
        <f>'Request #33'!T42</f>
        <v>Other Fees</v>
      </c>
      <c r="U42" s="218">
        <f>'Request #33'!U42</f>
        <v>0</v>
      </c>
      <c r="V42" s="87">
        <f>'Request #33'!V42</f>
        <v>0</v>
      </c>
      <c r="W42" s="88">
        <f>SUMIF(F7:F79,31,E7:E79)</f>
        <v>0</v>
      </c>
      <c r="X42" s="88">
        <f>'Request #33'!Y42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#33'!AA42,"OK","Alert,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#33'!V43,"OK","Send in Change Order")</f>
        <v>OK</v>
      </c>
      <c r="S43" s="85">
        <v>32</v>
      </c>
      <c r="T43" s="86" t="str">
        <f>'Request #33'!T43</f>
        <v>Other Fees</v>
      </c>
      <c r="U43" s="218">
        <f>'Request #33'!U43</f>
        <v>0</v>
      </c>
      <c r="V43" s="87">
        <f>'Request #33'!V43</f>
        <v>0</v>
      </c>
      <c r="W43" s="88">
        <f>SUMIF(F7:F79,32,E7:E79)</f>
        <v>0</v>
      </c>
      <c r="X43" s="88">
        <f>'Request #33'!Y43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#33'!AA43,"OK","Alert,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#33'!V44,"OK","Send in Change Order")</f>
        <v>OK</v>
      </c>
      <c r="S44" s="85">
        <v>33</v>
      </c>
      <c r="T44" s="86" t="str">
        <f>'Request #33'!T44</f>
        <v>Other Fees</v>
      </c>
      <c r="U44" s="218">
        <f>'Request #33'!U44</f>
        <v>0</v>
      </c>
      <c r="V44" s="87">
        <f>'Request #33'!V44</f>
        <v>0</v>
      </c>
      <c r="W44" s="88">
        <f>SUMIF(F7:F79,33,E7:E79)</f>
        <v>0</v>
      </c>
      <c r="X44" s="88">
        <f>'Request #33'!Y44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#33'!AA44,"OK","Alert,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#33'!V49,"OK","Send in Change Order")</f>
        <v>OK</v>
      </c>
      <c r="S49" s="85">
        <v>38</v>
      </c>
      <c r="T49" s="86" t="str">
        <f>'Request #33'!T49</f>
        <v>Other Fees</v>
      </c>
      <c r="U49" s="218">
        <f>'Request #33'!U49</f>
        <v>0</v>
      </c>
      <c r="V49" s="87">
        <f>'Request #33'!V49</f>
        <v>0</v>
      </c>
      <c r="W49" s="88">
        <f>SUMIF(F7:F79,38,E7:E79)</f>
        <v>0</v>
      </c>
      <c r="X49" s="88">
        <f>'Request #33'!Y49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#33'!AA49,"OK","Alert,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#33'!V50,"OK","Send in Change Order")</f>
        <v>OK</v>
      </c>
      <c r="S50" s="85">
        <v>39</v>
      </c>
      <c r="T50" s="86" t="str">
        <f>'Request #33'!T50</f>
        <v>Other Fees</v>
      </c>
      <c r="U50" s="218">
        <f>'Request #33'!U50</f>
        <v>0</v>
      </c>
      <c r="V50" s="87">
        <f>'Request #33'!V50</f>
        <v>0</v>
      </c>
      <c r="W50" s="88">
        <f>SUMIF(F7:F79,39,E7:E79)</f>
        <v>0</v>
      </c>
      <c r="X50" s="88">
        <f>'Request #33'!Y50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#33'!AA50,"OK","Alert,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#33'!V51,"OK","Send in Change Order")</f>
        <v>OK</v>
      </c>
      <c r="S51" s="85">
        <v>40</v>
      </c>
      <c r="T51" s="86" t="str">
        <f>'Request #33'!T51</f>
        <v>Other Fees</v>
      </c>
      <c r="U51" s="218">
        <f>'Request #33'!U51</f>
        <v>0</v>
      </c>
      <c r="V51" s="87">
        <f>'Request #33'!V51</f>
        <v>0</v>
      </c>
      <c r="W51" s="88">
        <f>SUMIF(F7:F79,40,E7:E79)</f>
        <v>0</v>
      </c>
      <c r="X51" s="88">
        <f>'Request #33'!Y51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#33'!AA51,"OK","Alert,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#33'!V52,"OK","Send in Change Order")</f>
        <v>OK</v>
      </c>
      <c r="S52" s="85">
        <v>41</v>
      </c>
      <c r="T52" s="86" t="str">
        <f>'Request #33'!T52</f>
        <v>Other Fees</v>
      </c>
      <c r="U52" s="218">
        <f>'Request #33'!U52</f>
        <v>0</v>
      </c>
      <c r="V52" s="87">
        <f>'Request #33'!V52</f>
        <v>0</v>
      </c>
      <c r="W52" s="88">
        <f>SUMIF(F7:F79,41,E7:E79)</f>
        <v>0</v>
      </c>
      <c r="X52" s="88">
        <f>'Request #33'!Y52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#33'!AA52,"OK","Alert,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#33'!V53,"OK","Send in Change Order")</f>
        <v>OK</v>
      </c>
      <c r="S53" s="85">
        <v>42</v>
      </c>
      <c r="T53" s="86" t="str">
        <f>'Request #33'!T53</f>
        <v>Other Fees</v>
      </c>
      <c r="U53" s="218">
        <f>'Request #33'!U53</f>
        <v>0</v>
      </c>
      <c r="V53" s="87">
        <f>'Request #33'!V53</f>
        <v>0</v>
      </c>
      <c r="W53" s="88">
        <f>SUMIF(F7:F79,42,E7:E79)</f>
        <v>0</v>
      </c>
      <c r="X53" s="88">
        <f>'Request #33'!Y53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#33'!AA53,"OK","Alert,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#33'!V54,"OK","Send in Change Order")</f>
        <v>OK</v>
      </c>
      <c r="S54" s="85">
        <v>43</v>
      </c>
      <c r="T54" s="86" t="str">
        <f>'Request #33'!T54</f>
        <v>Other Fees</v>
      </c>
      <c r="U54" s="218">
        <f>'Request #33'!U54</f>
        <v>0</v>
      </c>
      <c r="V54" s="87">
        <f>'Request #33'!V54</f>
        <v>0</v>
      </c>
      <c r="W54" s="88">
        <f>SUMIF(F7:F79,43,E7:E79)</f>
        <v>0</v>
      </c>
      <c r="X54" s="88">
        <f>'Request #33'!Y54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#33'!AA54,"OK","Alert,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#33'!V55,"OK","Send in Change Order")</f>
        <v>OK</v>
      </c>
      <c r="S55" s="85">
        <v>44</v>
      </c>
      <c r="T55" s="86" t="str">
        <f>'Request #33'!T55</f>
        <v>Other Fees</v>
      </c>
      <c r="U55" s="218">
        <f>'Request #33'!U55</f>
        <v>0</v>
      </c>
      <c r="V55" s="87">
        <f>'Request #33'!V55</f>
        <v>0</v>
      </c>
      <c r="W55" s="88">
        <f>SUMIF(F7:F79,44,E7:E79)</f>
        <v>0</v>
      </c>
      <c r="X55" s="88">
        <f>'Request #33'!Y55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#33'!AA55,"OK","Alert,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#33'!V56,"OK","Send in Change Order")</f>
        <v>OK</v>
      </c>
      <c r="S56" s="85">
        <v>45</v>
      </c>
      <c r="T56" s="86" t="str">
        <f>'Request #33'!T56</f>
        <v>Other Fees</v>
      </c>
      <c r="U56" s="218">
        <f>'Request #33'!U56</f>
        <v>0</v>
      </c>
      <c r="V56" s="87">
        <f>'Request #33'!V56</f>
        <v>0</v>
      </c>
      <c r="W56" s="88">
        <f>SUMIF(F7:F79,45,E7:E79)</f>
        <v>0</v>
      </c>
      <c r="X56" s="88">
        <f>'Request #33'!Y56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#33'!AA56,"OK","Alert,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#33'!V57,"OK","Send in Change Order")</f>
        <v>OK</v>
      </c>
      <c r="S57" s="85">
        <v>46</v>
      </c>
      <c r="T57" s="86" t="str">
        <f>'Request #33'!T57</f>
        <v>Other Fees</v>
      </c>
      <c r="U57" s="218">
        <f>'Request #33'!U57</f>
        <v>0</v>
      </c>
      <c r="V57" s="87">
        <f>'Request #33'!V57</f>
        <v>0</v>
      </c>
      <c r="W57" s="88">
        <f>SUMIF(F7:F79,46,E7:E79)</f>
        <v>0</v>
      </c>
      <c r="X57" s="88">
        <f>'Request #33'!Y57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#33'!AA57,"OK","Alert,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#33'!V58,"OK","Send in Change Order")</f>
        <v>OK</v>
      </c>
      <c r="S58" s="85">
        <v>47</v>
      </c>
      <c r="T58" s="86" t="str">
        <f>'Request #33'!T58</f>
        <v>Other Fees</v>
      </c>
      <c r="U58" s="218">
        <f>'Request #33'!U58</f>
        <v>0</v>
      </c>
      <c r="V58" s="87">
        <f>'Request #33'!V58</f>
        <v>0</v>
      </c>
      <c r="W58" s="88">
        <f>SUMIF(F7:F79,47,E7:E79)</f>
        <v>0</v>
      </c>
      <c r="X58" s="88">
        <f>'Request #33'!Y58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#33'!AA58,"OK","Alert,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#33'!V59,"OK","Send in Change Order")</f>
        <v>OK</v>
      </c>
      <c r="S59" s="85">
        <v>48</v>
      </c>
      <c r="T59" s="86" t="str">
        <f>'Request #33'!T59</f>
        <v>Other Fees</v>
      </c>
      <c r="U59" s="218">
        <f>'Request #33'!U59</f>
        <v>0</v>
      </c>
      <c r="V59" s="87">
        <f>'Request #33'!V59</f>
        <v>0</v>
      </c>
      <c r="W59" s="88">
        <f>SUMIF(F7:F79,48,E7:E79)</f>
        <v>0</v>
      </c>
      <c r="X59" s="88">
        <f>'Request #33'!Y59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#33'!AA59,"OK","Alert,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#33'!V60,"OK","Send in Change Order")</f>
        <v>OK</v>
      </c>
      <c r="S60" s="85">
        <v>49</v>
      </c>
      <c r="T60" s="86" t="str">
        <f>'Request #33'!T60</f>
        <v>Other Fees</v>
      </c>
      <c r="U60" s="218">
        <f>'Request #33'!U60</f>
        <v>0</v>
      </c>
      <c r="V60" s="87">
        <f>'Request #33'!V60</f>
        <v>0</v>
      </c>
      <c r="W60" s="88">
        <f>SUMIF(F7:F79,49,E7:E79)</f>
        <v>0</v>
      </c>
      <c r="X60" s="88">
        <f>'Request #33'!Y60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#33'!AA60,"OK","Alert,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#33'!V61,"OK","Send in Change Order")</f>
        <v>OK</v>
      </c>
      <c r="S61" s="85">
        <v>50</v>
      </c>
      <c r="T61" s="86" t="str">
        <f>'Request #33'!T61</f>
        <v>Other Fees</v>
      </c>
      <c r="U61" s="218">
        <f>'Request #33'!U61</f>
        <v>0</v>
      </c>
      <c r="V61" s="87">
        <f>'Request #33'!V61</f>
        <v>0</v>
      </c>
      <c r="W61" s="88">
        <f>SUMIF(F7:F79,50,E7:E79)</f>
        <v>0</v>
      </c>
      <c r="X61" s="88">
        <f>'Request #33'!Y61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#33'!AA61,"OK","Alert,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#33'!V62,"OK","Send in Change Order")</f>
        <v>OK</v>
      </c>
      <c r="S62" s="85">
        <v>51</v>
      </c>
      <c r="T62" s="86" t="str">
        <f>'Request #33'!T62</f>
        <v>Other Fees</v>
      </c>
      <c r="U62" s="218">
        <f>'Request #33'!U62</f>
        <v>0</v>
      </c>
      <c r="V62" s="87">
        <f>'Request #33'!V62</f>
        <v>0</v>
      </c>
      <c r="W62" s="88">
        <f>SUMIF(F7:F79,51,E7:E79)</f>
        <v>0</v>
      </c>
      <c r="X62" s="88">
        <f>'Request #33'!Y62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#33'!AA62,"OK","Alert,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#33'!V63,"OK","Send in Change Order")</f>
        <v>OK</v>
      </c>
      <c r="S63" s="85">
        <v>52</v>
      </c>
      <c r="T63" s="86" t="str">
        <f>'Request #33'!T63</f>
        <v>Worked Performed by Owner</v>
      </c>
      <c r="U63" s="218">
        <f>'Request #33'!U63</f>
        <v>0</v>
      </c>
      <c r="V63" s="87">
        <f>'Request #33'!V63</f>
        <v>0</v>
      </c>
      <c r="W63" s="88">
        <f>SUMIF(F7:F79,52,E7:E79)</f>
        <v>0</v>
      </c>
      <c r="X63" s="88">
        <f>'Request #33'!Y63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#33'!AA63,"OK","Alert,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#33'!V64,"OK","Send in Change Order")</f>
        <v>OK</v>
      </c>
      <c r="S64" s="85">
        <v>53</v>
      </c>
      <c r="T64" s="86" t="str">
        <f>'Request #33'!T64</f>
        <v>Equipment (Major)</v>
      </c>
      <c r="U64" s="218">
        <f>'Request #33'!U64</f>
        <v>0</v>
      </c>
      <c r="V64" s="87">
        <f>'Request #33'!V64</f>
        <v>0</v>
      </c>
      <c r="W64" s="88">
        <f>SUMIF(F7:F79,53,E7:E79)</f>
        <v>0</v>
      </c>
      <c r="X64" s="88">
        <f>'Request #33'!Y64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#33'!AA64,"OK","Alert,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#33'!V65,"OK","Send in Change Order")</f>
        <v>OK</v>
      </c>
      <c r="S65" s="85">
        <v>54</v>
      </c>
      <c r="T65" s="102" t="s">
        <v>90</v>
      </c>
      <c r="U65" s="218">
        <f>'Request #33'!U65</f>
        <v>0</v>
      </c>
      <c r="V65" s="87">
        <f>'Request #33'!V65</f>
        <v>0</v>
      </c>
      <c r="W65" s="104"/>
      <c r="X65" s="88">
        <f>'Request #33'!Y65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#33'!AA65,"OK","Alert,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#33'!V66,"OK","Send in Change Order")</f>
        <v>OK</v>
      </c>
      <c r="S66" s="85">
        <v>55</v>
      </c>
      <c r="T66" s="86"/>
      <c r="U66" s="218">
        <f>'Request #33'!U66</f>
        <v>0</v>
      </c>
      <c r="V66" s="87">
        <f>'Request #33'!V66</f>
        <v>0</v>
      </c>
      <c r="W66" s="88">
        <f>SUMIF(F7:F79,55,E7:E79)</f>
        <v>0</v>
      </c>
      <c r="X66" s="88">
        <f>'Request #33'!Y66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#33'!AA66,"OK","Alert,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#33'!V67,"OK","Send in Change Order")</f>
        <v>OK</v>
      </c>
      <c r="S67" s="85">
        <v>56</v>
      </c>
      <c r="T67" s="79"/>
      <c r="U67" s="218">
        <f>'Request #33'!U67</f>
        <v>0</v>
      </c>
      <c r="V67" s="87">
        <f>'Request #33'!V67</f>
        <v>0</v>
      </c>
      <c r="W67" s="88">
        <f>SUMIF(F7:F79,56,E7:E79)</f>
        <v>0</v>
      </c>
      <c r="X67" s="88">
        <f>'Request #33'!Y67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#33'!AA67,"OK","Alert,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#33'!V68,"OK","Send in Change Order")</f>
        <v>OK</v>
      </c>
      <c r="S68" s="316" t="s">
        <v>60</v>
      </c>
      <c r="T68" s="317"/>
      <c r="U68" s="224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#33'!AA68,"OK","Alert,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25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226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27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28" t="e">
        <f>V72/V68</f>
        <v>#DIV/0!</v>
      </c>
      <c r="V72" s="88">
        <f>V68-V74-V73</f>
        <v>0</v>
      </c>
      <c r="W72" s="87">
        <v>0</v>
      </c>
      <c r="X72" s="88">
        <f>'Request #33'!Y72</f>
        <v>0</v>
      </c>
      <c r="Y72" s="88">
        <f t="shared" ref="Y72:Y73" si="8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#33'!V73,"OK","Send in Change Order")</f>
        <v>OK</v>
      </c>
      <c r="S73" s="86" t="s">
        <v>95</v>
      </c>
      <c r="T73" s="114"/>
      <c r="U73" s="228" t="e">
        <f>V73/V68</f>
        <v>#DIV/0!</v>
      </c>
      <c r="V73" s="87">
        <f>'Request #33'!V73</f>
        <v>0</v>
      </c>
      <c r="W73" s="87">
        <v>0</v>
      </c>
      <c r="X73" s="88">
        <f>'Request #33'!Y73</f>
        <v>0</v>
      </c>
      <c r="Y73" s="88">
        <f t="shared" si="8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#33'!V74,"OK","Send in Change Order")</f>
        <v>OK</v>
      </c>
      <c r="S74" s="120" t="s">
        <v>96</v>
      </c>
      <c r="T74" s="121"/>
      <c r="U74" s="228" t="e">
        <f>V74/V68</f>
        <v>#DIV/0!</v>
      </c>
      <c r="V74" s="87">
        <f>'Request #33'!V74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221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30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30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31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221"/>
      <c r="V80" s="55"/>
      <c r="W80" s="55"/>
      <c r="X80" s="138"/>
      <c r="Y80" s="45" t="s">
        <v>108</v>
      </c>
      <c r="Z80" s="43"/>
      <c r="AA80" s="88">
        <f>'Request #33'!AA79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34</v>
      </c>
      <c r="V87" s="55"/>
      <c r="W87" s="55"/>
      <c r="X87" s="138"/>
      <c r="Y87" s="45" t="s">
        <v>108</v>
      </c>
      <c r="Z87" s="43"/>
      <c r="AA87" s="88">
        <f>'Request #33'!AA86</f>
        <v>0</v>
      </c>
      <c r="AB87" s="110"/>
    </row>
    <row r="88" spans="1:28" ht="30" customHeight="1" thickBot="1" x14ac:dyDescent="0.35">
      <c r="S88" s="55"/>
      <c r="T88" s="55"/>
      <c r="U88" s="221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221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221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221"/>
      <c r="V91" s="55"/>
      <c r="W91" s="55"/>
      <c r="X91" s="55"/>
    </row>
    <row r="92" spans="1:28" ht="30" customHeight="1" x14ac:dyDescent="0.3">
      <c r="S92" s="55"/>
      <c r="T92" s="55"/>
      <c r="U92" s="221"/>
      <c r="V92" s="55"/>
      <c r="W92" s="55"/>
      <c r="X92" s="55"/>
    </row>
    <row r="93" spans="1:28" ht="30" customHeight="1" x14ac:dyDescent="0.3">
      <c r="S93" s="55"/>
      <c r="T93" s="55"/>
      <c r="U93" s="221"/>
      <c r="V93" s="55"/>
      <c r="W93" s="55"/>
      <c r="X93" s="55"/>
    </row>
    <row r="94" spans="1:28" ht="30" customHeight="1" x14ac:dyDescent="0.3">
      <c r="S94" s="55"/>
      <c r="T94" s="55"/>
      <c r="U94" s="221"/>
      <c r="V94" s="55"/>
      <c r="W94" s="55"/>
      <c r="X94" s="55"/>
    </row>
    <row r="95" spans="1:28" ht="30" customHeight="1" x14ac:dyDescent="0.3">
      <c r="S95" s="55"/>
      <c r="T95" s="55"/>
      <c r="U95" s="221"/>
      <c r="V95" s="55"/>
      <c r="W95" s="55"/>
      <c r="X95" s="55"/>
    </row>
    <row r="96" spans="1:28" ht="30" customHeight="1" x14ac:dyDescent="0.3">
      <c r="S96" s="55"/>
      <c r="T96" s="55"/>
      <c r="U96" s="221"/>
      <c r="V96" s="55"/>
      <c r="W96" s="55"/>
      <c r="X96" s="55"/>
    </row>
    <row r="97" spans="15:24" ht="30" customHeight="1" x14ac:dyDescent="0.3">
      <c r="S97" s="55"/>
      <c r="T97" s="55"/>
      <c r="U97" s="221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hikvPxc+V+dYNE1ggBOLCne0nu8oWi+/4p5FTNJn9YjU3w7mIsQD4bJhPn8NSwInrLIuU+OoBg8rHrjiz9Lrww==" saltValue="zwJknxMhQU1GWfATinWhFQ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T10:U10"/>
    <mergeCell ref="C5:C6"/>
    <mergeCell ref="F5:F6"/>
    <mergeCell ref="M5:M6"/>
    <mergeCell ref="P5:P6"/>
    <mergeCell ref="S7:AA7"/>
    <mergeCell ref="Y83:AA83"/>
    <mergeCell ref="Y86:Z86"/>
    <mergeCell ref="S68:T68"/>
    <mergeCell ref="S70:T70"/>
    <mergeCell ref="Y76:AA76"/>
    <mergeCell ref="W77:W79"/>
    <mergeCell ref="Y79:Z79"/>
  </mergeCells>
  <conditionalFormatting sqref="R1:R1048576">
    <cfRule type="containsText" dxfId="133" priority="10" operator="containsText" text="Change">
      <formula>NOT(ISERROR(SEARCH("Change",R1)))</formula>
    </cfRule>
  </conditionalFormatting>
  <conditionalFormatting sqref="R45:R48">
    <cfRule type="cellIs" dxfId="132" priority="7" operator="equal">
      <formula>"Send in Change Order"</formula>
    </cfRule>
  </conditionalFormatting>
  <conditionalFormatting sqref="W68">
    <cfRule type="cellIs" dxfId="131" priority="2" operator="notEqual">
      <formula>$E$82</formula>
    </cfRule>
    <cfRule type="cellIs" dxfId="130" priority="3" operator="greaterThan">
      <formula>$E$82</formula>
    </cfRule>
    <cfRule type="cellIs" dxfId="129" priority="4" operator="notEqual">
      <formula>$E$82</formula>
    </cfRule>
  </conditionalFormatting>
  <conditionalFormatting sqref="Z12:Z44">
    <cfRule type="cellIs" dxfId="128" priority="8" operator="lessThan">
      <formula>0</formula>
    </cfRule>
  </conditionalFormatting>
  <conditionalFormatting sqref="Z49:Z68">
    <cfRule type="cellIs" dxfId="127" priority="5" operator="lessThan">
      <formula>0</formula>
    </cfRule>
  </conditionalFormatting>
  <conditionalFormatting sqref="AA68">
    <cfRule type="cellIs" dxfId="126" priority="1" operator="notEqual">
      <formula>$O$82</formula>
    </cfRule>
  </conditionalFormatting>
  <conditionalFormatting sqref="AB1:AB1048576">
    <cfRule type="containsText" dxfId="125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2" manualBreakCount="12">
    <brk id="6" max="88" man="1"/>
    <brk id="10" max="1048575" man="1"/>
    <brk id="16" max="88" man="1"/>
    <brk id="18" max="1048575" man="1"/>
    <brk id="27" max="88" man="1"/>
    <brk id="29" max="1048575" man="1"/>
    <brk id="51" max="1048575" man="1"/>
    <brk id="52" max="1048575" man="1"/>
    <brk id="99" max="1048575" man="1"/>
    <brk id="101" max="1048575" man="1"/>
    <brk id="110" max="1048575" man="1"/>
    <brk id="111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664062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44140625" style="50" customWidth="1"/>
    <col min="19" max="19" width="6.109375" style="39" customWidth="1"/>
    <col min="20" max="20" width="30.77734375" style="39" customWidth="1"/>
    <col min="21" max="21" width="17.77734375" style="219" customWidth="1"/>
    <col min="22" max="27" width="18.88671875" style="39" customWidth="1"/>
    <col min="28" max="28" width="2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220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35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220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220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221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22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ref="G9:I24" si="2">S14</f>
        <v>3</v>
      </c>
      <c r="H9" s="205" t="str">
        <f t="shared" si="2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23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35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2"/>
        <v>4</v>
      </c>
      <c r="H10" s="205" t="str">
        <f t="shared" si="2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2"/>
        <v>5</v>
      </c>
      <c r="H11" s="205" t="str">
        <f t="shared" si="2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218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2"/>
        <v>6</v>
      </c>
      <c r="H12" s="205" t="str">
        <f t="shared" si="2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#34'!V12,"OK","Send in Change Order")</f>
        <v>OK</v>
      </c>
      <c r="S12" s="85">
        <v>1</v>
      </c>
      <c r="T12" s="86" t="str">
        <f>'Request #34'!T12</f>
        <v>Land/Site Grading &amp; Improv.</v>
      </c>
      <c r="U12" s="218">
        <f>'Request #34'!U12</f>
        <v>0</v>
      </c>
      <c r="V12" s="87">
        <f>'Request #34'!V12</f>
        <v>0</v>
      </c>
      <c r="W12" s="88">
        <f>SUMIF(F7:F79,1,E7:E79)</f>
        <v>0</v>
      </c>
      <c r="X12" s="88">
        <f>'Request #34'!Y12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#34'!AA12,"OK","Alert,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2"/>
        <v>7</v>
      </c>
      <c r="H13" s="205" t="str">
        <f t="shared" si="2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#34'!V13,"OK","Send in Change Order")</f>
        <v>OK</v>
      </c>
      <c r="S13" s="85">
        <v>2</v>
      </c>
      <c r="T13" s="86" t="str">
        <f>'Request #34'!T13</f>
        <v xml:space="preserve">General Contract </v>
      </c>
      <c r="U13" s="218">
        <f>'Request #34'!U13</f>
        <v>0</v>
      </c>
      <c r="V13" s="87">
        <f>'Request #34'!V13</f>
        <v>0</v>
      </c>
      <c r="W13" s="88">
        <f>SUMIF(F7:F79,2,E7:E79)</f>
        <v>0</v>
      </c>
      <c r="X13" s="88">
        <f>'Request #34'!Y13</f>
        <v>0</v>
      </c>
      <c r="Y13" s="88">
        <f t="shared" ref="Y13:Y67" si="3">W13+X13</f>
        <v>0</v>
      </c>
      <c r="Z13" s="88">
        <f t="shared" ref="Z13:Z67" si="4">V13-Y13</f>
        <v>0</v>
      </c>
      <c r="AA13" s="88">
        <f>SUMIF(P7:P79,2,O7:O79)</f>
        <v>0</v>
      </c>
      <c r="AB13" s="50" t="str">
        <f>IF(W13&gt;='Request #34'!AA13,"OK","Alert,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2"/>
        <v>8</v>
      </c>
      <c r="H14" s="205" t="str">
        <f t="shared" si="2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#34'!V14,"OK","Send in Change Order")</f>
        <v>OK</v>
      </c>
      <c r="S14" s="85">
        <v>3</v>
      </c>
      <c r="T14" s="86" t="str">
        <f>'Request #34'!T14</f>
        <v>Designer Contract</v>
      </c>
      <c r="U14" s="218">
        <f>'Request #34'!U14</f>
        <v>0</v>
      </c>
      <c r="V14" s="87">
        <f>'Request #34'!V14</f>
        <v>0</v>
      </c>
      <c r="W14" s="88">
        <f>SUMIF(F7:F79,3,E7:E79)</f>
        <v>0</v>
      </c>
      <c r="X14" s="88">
        <f>'Request #34'!Y14</f>
        <v>0</v>
      </c>
      <c r="Y14" s="88">
        <f t="shared" si="3"/>
        <v>0</v>
      </c>
      <c r="Z14" s="88">
        <f t="shared" si="4"/>
        <v>0</v>
      </c>
      <c r="AA14" s="88">
        <f>SUMIF(P7:P79,3,O7:O79)</f>
        <v>0</v>
      </c>
      <c r="AB14" s="50" t="str">
        <f>IF(W14&gt;='Request #34'!AA14,"OK","Alert,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2"/>
        <v>9</v>
      </c>
      <c r="H15" s="205" t="str">
        <f t="shared" si="2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#34'!V15,"OK","Send in Change Order")</f>
        <v>OK</v>
      </c>
      <c r="S15" s="85">
        <v>4</v>
      </c>
      <c r="T15" s="86" t="str">
        <f>'Request #34'!T15</f>
        <v>Designer Reimbursables</v>
      </c>
      <c r="U15" s="218">
        <f>'Request #34'!U15</f>
        <v>0</v>
      </c>
      <c r="V15" s="87">
        <f>'Request #34'!V15</f>
        <v>0</v>
      </c>
      <c r="W15" s="88">
        <f>SUMIF(F7:F79,4,E7:E79)</f>
        <v>0</v>
      </c>
      <c r="X15" s="88">
        <f>'Request #34'!Y15</f>
        <v>0</v>
      </c>
      <c r="Y15" s="88">
        <f t="shared" si="3"/>
        <v>0</v>
      </c>
      <c r="Z15" s="88">
        <f t="shared" si="4"/>
        <v>0</v>
      </c>
      <c r="AA15" s="88">
        <f>SUMIF(P7:P79,4,O7:O79)</f>
        <v>0</v>
      </c>
      <c r="AB15" s="50" t="str">
        <f>IF(W15&gt;='Request #34'!AA15,"OK","Alert,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2"/>
        <v>10</v>
      </c>
      <c r="H16" s="205" t="str">
        <f t="shared" si="2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#34'!V16,"OK","Send in Change Order")</f>
        <v>OK</v>
      </c>
      <c r="S16" s="85">
        <v>5</v>
      </c>
      <c r="T16" s="86" t="str">
        <f>'Request #34'!T16</f>
        <v>Other Contracts</v>
      </c>
      <c r="U16" s="218">
        <f>'Request #34'!U16</f>
        <v>0</v>
      </c>
      <c r="V16" s="87">
        <f>'Request #34'!V16</f>
        <v>0</v>
      </c>
      <c r="W16" s="88">
        <f>SUMIF(F7:F79,5,E7:E79)</f>
        <v>0</v>
      </c>
      <c r="X16" s="88">
        <f>'Request #34'!Y16</f>
        <v>0</v>
      </c>
      <c r="Y16" s="88">
        <f t="shared" si="3"/>
        <v>0</v>
      </c>
      <c r="Z16" s="88">
        <f t="shared" si="4"/>
        <v>0</v>
      </c>
      <c r="AA16" s="88">
        <f>SUMIF(P7:P79,5,O7:O79)</f>
        <v>0</v>
      </c>
      <c r="AB16" s="50" t="str">
        <f>IF(W16&gt;='Request #34'!AA16,"OK","Alert,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2"/>
        <v>11</v>
      </c>
      <c r="H17" s="205" t="str">
        <f t="shared" si="2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#34'!V17,"OK","Send in Change Order")</f>
        <v>OK</v>
      </c>
      <c r="S17" s="85">
        <v>6</v>
      </c>
      <c r="T17" s="86" t="str">
        <f>'Request #34'!T17</f>
        <v>Other Contracts</v>
      </c>
      <c r="U17" s="218">
        <f>'Request #34'!U17</f>
        <v>0</v>
      </c>
      <c r="V17" s="87">
        <f>'Request #34'!V17</f>
        <v>0</v>
      </c>
      <c r="W17" s="88">
        <f>SUMIF(F7:F79,6,E7:E79)</f>
        <v>0</v>
      </c>
      <c r="X17" s="88">
        <f>'Request #34'!Y17</f>
        <v>0</v>
      </c>
      <c r="Y17" s="88">
        <f t="shared" si="3"/>
        <v>0</v>
      </c>
      <c r="Z17" s="88">
        <f t="shared" si="4"/>
        <v>0</v>
      </c>
      <c r="AA17" s="88">
        <f>SUMIF(P7:P79,6,O7:O79)</f>
        <v>0</v>
      </c>
      <c r="AB17" s="50" t="str">
        <f>IF(W17&gt;='Request #34'!AA17,"OK","Alert,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2"/>
        <v>12</v>
      </c>
      <c r="H18" s="205" t="str">
        <f t="shared" si="2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#34'!V18,"OK","Send in Change Order")</f>
        <v>OK</v>
      </c>
      <c r="S18" s="85">
        <v>7</v>
      </c>
      <c r="T18" s="86" t="str">
        <f>'Request #34'!T18</f>
        <v>Other Contracts</v>
      </c>
      <c r="U18" s="218">
        <f>'Request #34'!U18</f>
        <v>0</v>
      </c>
      <c r="V18" s="87">
        <f>'Request #34'!V18</f>
        <v>0</v>
      </c>
      <c r="W18" s="88">
        <f>SUMIF(F7:F79,7,E7:E79)</f>
        <v>0</v>
      </c>
      <c r="X18" s="88">
        <f>'Request #34'!Y18</f>
        <v>0</v>
      </c>
      <c r="Y18" s="88">
        <f t="shared" si="3"/>
        <v>0</v>
      </c>
      <c r="Z18" s="88">
        <f t="shared" si="4"/>
        <v>0</v>
      </c>
      <c r="AA18" s="88">
        <f>SUMIF(P7:P79,7,O7:O79)</f>
        <v>0</v>
      </c>
      <c r="AB18" s="50" t="str">
        <f>IF(W18&gt;='Request #34'!AA18,"OK","Alert,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2"/>
        <v>13</v>
      </c>
      <c r="H19" s="205" t="str">
        <f t="shared" si="2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#34'!V19,"OK","Send in Change Order")</f>
        <v>OK</v>
      </c>
      <c r="S19" s="85">
        <v>8</v>
      </c>
      <c r="T19" s="86" t="str">
        <f>'Request #34'!T19</f>
        <v>Other Contracts</v>
      </c>
      <c r="U19" s="218">
        <f>'Request #34'!U19</f>
        <v>0</v>
      </c>
      <c r="V19" s="87">
        <f>'Request #34'!V19</f>
        <v>0</v>
      </c>
      <c r="W19" s="88">
        <f>SUMIF(F7:F79,8,E7:E79)</f>
        <v>0</v>
      </c>
      <c r="X19" s="88">
        <f>'Request #34'!Y19</f>
        <v>0</v>
      </c>
      <c r="Y19" s="88">
        <f t="shared" si="3"/>
        <v>0</v>
      </c>
      <c r="Z19" s="88">
        <f t="shared" si="4"/>
        <v>0</v>
      </c>
      <c r="AA19" s="88">
        <f>SUMIF(P7:P79,8,O7:O79)</f>
        <v>0</v>
      </c>
      <c r="AB19" s="50" t="str">
        <f>IF(W19&gt;='Request #34'!AA19,"OK","Alert,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2"/>
        <v>14</v>
      </c>
      <c r="H20" s="205" t="str">
        <f t="shared" si="2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#34'!V20,"OK","Send in Change Order")</f>
        <v>OK</v>
      </c>
      <c r="S20" s="85">
        <v>9</v>
      </c>
      <c r="T20" s="86" t="str">
        <f>'Request #34'!T20</f>
        <v>Other Contracts</v>
      </c>
      <c r="U20" s="218">
        <f>'Request #34'!U20</f>
        <v>0</v>
      </c>
      <c r="V20" s="87">
        <f>'Request #34'!V20</f>
        <v>0</v>
      </c>
      <c r="W20" s="88">
        <f>SUMIF(F7:F79,9,E7:E79)</f>
        <v>0</v>
      </c>
      <c r="X20" s="88">
        <f>'Request #34'!Y20</f>
        <v>0</v>
      </c>
      <c r="Y20" s="88">
        <f t="shared" si="3"/>
        <v>0</v>
      </c>
      <c r="Z20" s="88">
        <f t="shared" si="4"/>
        <v>0</v>
      </c>
      <c r="AA20" s="88">
        <f>SUMIF(P7:P79,9,O7:O79)</f>
        <v>0</v>
      </c>
      <c r="AB20" s="50" t="str">
        <f>IF(W20&gt;='Request #34'!AA20,"OK","Alert,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2"/>
        <v>15</v>
      </c>
      <c r="H21" s="205" t="str">
        <f t="shared" si="2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#34'!V21,"OK","Send in Change Order")</f>
        <v>OK</v>
      </c>
      <c r="S21" s="85">
        <v>10</v>
      </c>
      <c r="T21" s="86" t="str">
        <f>'Request #34'!T21</f>
        <v>Other Contracts</v>
      </c>
      <c r="U21" s="218">
        <f>'Request #34'!U21</f>
        <v>0</v>
      </c>
      <c r="V21" s="87">
        <f>'Request #34'!V21</f>
        <v>0</v>
      </c>
      <c r="W21" s="88">
        <f>SUMIF(F7:F79,10,E7:E79)</f>
        <v>0</v>
      </c>
      <c r="X21" s="88">
        <f>'Request #34'!Y21</f>
        <v>0</v>
      </c>
      <c r="Y21" s="88">
        <f t="shared" si="3"/>
        <v>0</v>
      </c>
      <c r="Z21" s="88">
        <f t="shared" si="4"/>
        <v>0</v>
      </c>
      <c r="AA21" s="88">
        <f>SUMIF(P7:P79,10,O7:O79)</f>
        <v>0</v>
      </c>
      <c r="AB21" s="50" t="str">
        <f>IF(W21&gt;='Request #34'!AA21,"OK","Alert,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2"/>
        <v>16</v>
      </c>
      <c r="H22" s="205" t="str">
        <f t="shared" si="2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#34'!V22,"OK","Send in Change Order")</f>
        <v>OK</v>
      </c>
      <c r="S22" s="85">
        <v>11</v>
      </c>
      <c r="T22" s="86" t="str">
        <f>'Request #34'!T22</f>
        <v>Other Contracts</v>
      </c>
      <c r="U22" s="218">
        <f>'Request #34'!U22</f>
        <v>0</v>
      </c>
      <c r="V22" s="87">
        <f>'Request #34'!V22</f>
        <v>0</v>
      </c>
      <c r="W22" s="88">
        <f>SUMIF(F7:F79,11,E7:E79)</f>
        <v>0</v>
      </c>
      <c r="X22" s="88">
        <f>'Request #34'!Y22</f>
        <v>0</v>
      </c>
      <c r="Y22" s="88">
        <f t="shared" si="3"/>
        <v>0</v>
      </c>
      <c r="Z22" s="88">
        <f t="shared" si="4"/>
        <v>0</v>
      </c>
      <c r="AA22" s="88">
        <f>SUMIF(P7:P79,11,O7:O79)</f>
        <v>0</v>
      </c>
      <c r="AB22" s="50" t="str">
        <f>IF(W22&gt;='Request #34'!AA22,"OK","Alert,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2"/>
        <v>17</v>
      </c>
      <c r="H23" s="205" t="str">
        <f t="shared" si="2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#34'!V23,"OK","Send in Change Order")</f>
        <v>OK</v>
      </c>
      <c r="S23" s="85">
        <v>12</v>
      </c>
      <c r="T23" s="86" t="str">
        <f>'Request #34'!T23</f>
        <v>Other Contracts</v>
      </c>
      <c r="U23" s="218">
        <f>'Request #34'!U23</f>
        <v>0</v>
      </c>
      <c r="V23" s="87">
        <f>'Request #34'!V23</f>
        <v>0</v>
      </c>
      <c r="W23" s="88">
        <f>SUMIF(F7:F79,12,E7:E79)</f>
        <v>0</v>
      </c>
      <c r="X23" s="88">
        <f>'Request #34'!Y23</f>
        <v>0</v>
      </c>
      <c r="Y23" s="88">
        <f t="shared" si="3"/>
        <v>0</v>
      </c>
      <c r="Z23" s="88">
        <f t="shared" si="4"/>
        <v>0</v>
      </c>
      <c r="AA23" s="88">
        <f>SUMIF(P7:P79,12,O7:O79)</f>
        <v>0</v>
      </c>
      <c r="AB23" s="50" t="str">
        <f>IF(W23&gt;='Request #34'!AA23,"OK","Alert,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2"/>
        <v>18</v>
      </c>
      <c r="H24" s="205" t="str">
        <f t="shared" si="2"/>
        <v>Other Contracts</v>
      </c>
      <c r="I24" s="247">
        <f t="shared" si="2"/>
        <v>0</v>
      </c>
      <c r="K24" s="159"/>
      <c r="L24" s="157"/>
      <c r="M24" s="157"/>
      <c r="N24" s="154"/>
      <c r="O24" s="155"/>
      <c r="P24" s="158"/>
      <c r="R24" s="50" t="str">
        <f>IF(V24='Request #34'!V24,"OK","Send in Change Order")</f>
        <v>OK</v>
      </c>
      <c r="S24" s="85">
        <v>13</v>
      </c>
      <c r="T24" s="86" t="str">
        <f>'Request #34'!T24</f>
        <v>Other Contracts</v>
      </c>
      <c r="U24" s="218">
        <f>'Request #34'!U24</f>
        <v>0</v>
      </c>
      <c r="V24" s="87">
        <f>'Request #34'!V24</f>
        <v>0</v>
      </c>
      <c r="W24" s="88">
        <f>SUMIF(F7:F79,13,E7:E79)</f>
        <v>0</v>
      </c>
      <c r="X24" s="88">
        <f>'Request #34'!Y24</f>
        <v>0</v>
      </c>
      <c r="Y24" s="88">
        <f t="shared" si="3"/>
        <v>0</v>
      </c>
      <c r="Z24" s="88">
        <f t="shared" si="4"/>
        <v>0</v>
      </c>
      <c r="AA24" s="88">
        <f>SUMIF(P7:P79,13,O7:O79)</f>
        <v>0</v>
      </c>
      <c r="AB24" s="50" t="str">
        <f>IF(W24&gt;='Request #34'!AA24,"OK","Alert,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5">S30</f>
        <v>19</v>
      </c>
      <c r="H25" s="205" t="str">
        <f t="shared" si="5"/>
        <v>Other Contracts</v>
      </c>
      <c r="I25" s="247">
        <f t="shared" si="5"/>
        <v>0</v>
      </c>
      <c r="K25" s="159"/>
      <c r="L25" s="157"/>
      <c r="M25" s="157"/>
      <c r="N25" s="154"/>
      <c r="O25" s="155"/>
      <c r="P25" s="158"/>
      <c r="R25" s="50" t="str">
        <f>IF(V25='Request #34'!V25,"OK","Send in Change Order")</f>
        <v>OK</v>
      </c>
      <c r="S25" s="85">
        <v>14</v>
      </c>
      <c r="T25" s="86" t="str">
        <f>'Request #34'!T25</f>
        <v>Other Contracts</v>
      </c>
      <c r="U25" s="218">
        <f>'Request #34'!U25</f>
        <v>0</v>
      </c>
      <c r="V25" s="87">
        <f>'Request #34'!V25</f>
        <v>0</v>
      </c>
      <c r="W25" s="88">
        <f>SUMIF(F7:F79,14,E7:E79)</f>
        <v>0</v>
      </c>
      <c r="X25" s="88">
        <f>'Request #34'!Y25</f>
        <v>0</v>
      </c>
      <c r="Y25" s="88">
        <f t="shared" si="3"/>
        <v>0</v>
      </c>
      <c r="Z25" s="88">
        <f t="shared" si="4"/>
        <v>0</v>
      </c>
      <c r="AA25" s="88">
        <f>SUMIF(P7:P79,14,O7:O79)</f>
        <v>0</v>
      </c>
      <c r="AB25" s="50" t="str">
        <f>IF(W25&gt;='Request #34'!AA25,"OK","Alert,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5"/>
        <v>20</v>
      </c>
      <c r="H26" s="205" t="str">
        <f t="shared" si="5"/>
        <v>Other Contracts</v>
      </c>
      <c r="I26" s="247">
        <f t="shared" si="5"/>
        <v>0</v>
      </c>
      <c r="K26" s="159"/>
      <c r="L26" s="157"/>
      <c r="M26" s="157"/>
      <c r="N26" s="154"/>
      <c r="O26" s="155"/>
      <c r="P26" s="158"/>
      <c r="R26" s="50" t="str">
        <f>IF(V26='Request #34'!V26,"OK","Send in Change Order")</f>
        <v>OK</v>
      </c>
      <c r="S26" s="85">
        <v>15</v>
      </c>
      <c r="T26" s="86" t="str">
        <f>'Request #34'!T26</f>
        <v>Other Contracts</v>
      </c>
      <c r="U26" s="218">
        <f>'Request #34'!U26</f>
        <v>0</v>
      </c>
      <c r="V26" s="87">
        <f>'Request #34'!V26</f>
        <v>0</v>
      </c>
      <c r="W26" s="88">
        <f>SUMIF(F7:F79,15,E7:E79)</f>
        <v>0</v>
      </c>
      <c r="X26" s="88">
        <f>'Request #34'!Y26</f>
        <v>0</v>
      </c>
      <c r="Y26" s="88">
        <f t="shared" si="3"/>
        <v>0</v>
      </c>
      <c r="Z26" s="88">
        <f t="shared" si="4"/>
        <v>0</v>
      </c>
      <c r="AA26" s="88">
        <f>SUMIF(P7:P79,15,O7:O79)</f>
        <v>0</v>
      </c>
      <c r="AB26" s="50" t="str">
        <f>IF(W26&gt;='Request #34'!AA26,"OK","Alert,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5"/>
        <v>21</v>
      </c>
      <c r="H27" s="205" t="str">
        <f t="shared" si="5"/>
        <v>Other Contracts</v>
      </c>
      <c r="I27" s="247">
        <f t="shared" si="5"/>
        <v>0</v>
      </c>
      <c r="K27" s="159"/>
      <c r="L27" s="157"/>
      <c r="M27" s="157"/>
      <c r="N27" s="154"/>
      <c r="O27" s="155"/>
      <c r="P27" s="158"/>
      <c r="R27" s="50" t="str">
        <f>IF(V27='Request #34'!V27,"OK","Send in Change Order")</f>
        <v>OK</v>
      </c>
      <c r="S27" s="85">
        <v>16</v>
      </c>
      <c r="T27" s="86" t="str">
        <f>'Request #34'!T27</f>
        <v>Other Contracts</v>
      </c>
      <c r="U27" s="218">
        <f>'Request #34'!U27</f>
        <v>0</v>
      </c>
      <c r="V27" s="87">
        <f>'Request #34'!V27</f>
        <v>0</v>
      </c>
      <c r="W27" s="88">
        <f>SUMIF(F7:F79,16,E7:E79)</f>
        <v>0</v>
      </c>
      <c r="X27" s="88">
        <f>'Request #34'!Y27</f>
        <v>0</v>
      </c>
      <c r="Y27" s="88">
        <f t="shared" si="3"/>
        <v>0</v>
      </c>
      <c r="Z27" s="88">
        <f t="shared" si="4"/>
        <v>0</v>
      </c>
      <c r="AA27" s="88">
        <f>SUMIF(P7:P79,16,O7:O79)</f>
        <v>0</v>
      </c>
      <c r="AB27" s="50" t="str">
        <f>IF(W27&gt;='Request #34'!AA27,"OK","Alert,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5"/>
        <v>22</v>
      </c>
      <c r="H28" s="205" t="str">
        <f t="shared" si="5"/>
        <v>Other Contracts</v>
      </c>
      <c r="I28" s="247">
        <f t="shared" si="5"/>
        <v>0</v>
      </c>
      <c r="K28" s="159"/>
      <c r="L28" s="157"/>
      <c r="M28" s="157"/>
      <c r="N28" s="154"/>
      <c r="O28" s="155"/>
      <c r="P28" s="158"/>
      <c r="R28" s="50" t="str">
        <f>IF(V28='Request #34'!V28,"OK","Send in Change Order")</f>
        <v>OK</v>
      </c>
      <c r="S28" s="85">
        <v>17</v>
      </c>
      <c r="T28" s="86" t="str">
        <f>'Request #34'!T28</f>
        <v>Other Contracts</v>
      </c>
      <c r="U28" s="218">
        <f>'Request #34'!U28</f>
        <v>0</v>
      </c>
      <c r="V28" s="87">
        <f>'Request #34'!V28</f>
        <v>0</v>
      </c>
      <c r="W28" s="88">
        <f>SUMIF(F7:F79,17,E7:E79)</f>
        <v>0</v>
      </c>
      <c r="X28" s="88">
        <f>'Request #34'!Y28</f>
        <v>0</v>
      </c>
      <c r="Y28" s="88">
        <f t="shared" si="3"/>
        <v>0</v>
      </c>
      <c r="Z28" s="88">
        <f t="shared" si="4"/>
        <v>0</v>
      </c>
      <c r="AA28" s="88">
        <f>SUMIF(P7:P79,17,O7:O79)</f>
        <v>0</v>
      </c>
      <c r="AB28" s="50" t="str">
        <f>IF(W28&gt;='Request #34'!AA28,"OK","Alert,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5"/>
        <v>23</v>
      </c>
      <c r="H29" s="205" t="str">
        <f t="shared" si="5"/>
        <v>Other Contracts</v>
      </c>
      <c r="I29" s="247">
        <f t="shared" si="5"/>
        <v>0</v>
      </c>
      <c r="K29" s="159"/>
      <c r="L29" s="157"/>
      <c r="M29" s="157"/>
      <c r="N29" s="154"/>
      <c r="O29" s="155"/>
      <c r="P29" s="158"/>
      <c r="R29" s="50" t="str">
        <f>IF(V29='Request #34'!V29,"OK","Send in Change Order")</f>
        <v>OK</v>
      </c>
      <c r="S29" s="85">
        <v>18</v>
      </c>
      <c r="T29" s="86" t="str">
        <f>'Request #34'!T29</f>
        <v>Other Contracts</v>
      </c>
      <c r="U29" s="218">
        <f>'Request #34'!U29</f>
        <v>0</v>
      </c>
      <c r="V29" s="87">
        <f>'Request #34'!V29</f>
        <v>0</v>
      </c>
      <c r="W29" s="88">
        <f>SUMIF(F7:F79,18,E7:E79)</f>
        <v>0</v>
      </c>
      <c r="X29" s="88">
        <f>'Request #34'!Y29</f>
        <v>0</v>
      </c>
      <c r="Y29" s="88">
        <f t="shared" si="3"/>
        <v>0</v>
      </c>
      <c r="Z29" s="88">
        <f t="shared" si="4"/>
        <v>0</v>
      </c>
      <c r="AA29" s="88">
        <f>SUMIF(P7:P79,18,O7:O79)</f>
        <v>0</v>
      </c>
      <c r="AB29" s="50" t="str">
        <f>IF(W29&gt;='Request #34'!AA29,"OK","Alert,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5"/>
        <v>24</v>
      </c>
      <c r="H30" s="205" t="str">
        <f t="shared" si="5"/>
        <v>Other Contracts</v>
      </c>
      <c r="I30" s="247">
        <f t="shared" si="5"/>
        <v>0</v>
      </c>
      <c r="K30" s="159"/>
      <c r="L30" s="157"/>
      <c r="M30" s="157"/>
      <c r="N30" s="154"/>
      <c r="O30" s="155"/>
      <c r="P30" s="158"/>
      <c r="R30" s="50" t="str">
        <f>IF(V30='Request #34'!V30,"OK","Send in Change Order")</f>
        <v>OK</v>
      </c>
      <c r="S30" s="85">
        <v>19</v>
      </c>
      <c r="T30" s="86" t="str">
        <f>'Request #34'!T30</f>
        <v>Other Contracts</v>
      </c>
      <c r="U30" s="218">
        <f>'Request #34'!U30</f>
        <v>0</v>
      </c>
      <c r="V30" s="87">
        <f>'Request #34'!V30</f>
        <v>0</v>
      </c>
      <c r="W30" s="88">
        <f>SUMIF(F7:F79,19,E7:E79)</f>
        <v>0</v>
      </c>
      <c r="X30" s="88">
        <f>'Request #34'!Y30</f>
        <v>0</v>
      </c>
      <c r="Y30" s="88">
        <f t="shared" si="3"/>
        <v>0</v>
      </c>
      <c r="Z30" s="88">
        <f t="shared" si="4"/>
        <v>0</v>
      </c>
      <c r="AA30" s="88">
        <f>SUMIF(P7:P79,19,O7:O79)</f>
        <v>0</v>
      </c>
      <c r="AB30" s="50" t="str">
        <f>IF(W30&gt;='Request #34'!AA30,"OK","Alert,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5"/>
        <v>25</v>
      </c>
      <c r="H31" s="205" t="str">
        <f t="shared" si="5"/>
        <v>Other Contracts</v>
      </c>
      <c r="I31" s="247">
        <f t="shared" si="5"/>
        <v>0</v>
      </c>
      <c r="K31" s="159"/>
      <c r="L31" s="157"/>
      <c r="M31" s="157"/>
      <c r="N31" s="154"/>
      <c r="O31" s="155"/>
      <c r="P31" s="158"/>
      <c r="R31" s="50" t="str">
        <f>IF(V31='Request #34'!V31,"OK","Send in Change Order")</f>
        <v>OK</v>
      </c>
      <c r="S31" s="85">
        <v>20</v>
      </c>
      <c r="T31" s="86" t="str">
        <f>'Request #34'!T31</f>
        <v>Other Contracts</v>
      </c>
      <c r="U31" s="218">
        <f>'Request #34'!U31</f>
        <v>0</v>
      </c>
      <c r="V31" s="87">
        <f>'Request #34'!V31</f>
        <v>0</v>
      </c>
      <c r="W31" s="88">
        <f>SUMIF(F7:F79,20,E7:E79)</f>
        <v>0</v>
      </c>
      <c r="X31" s="88">
        <f>'Request #34'!Y31</f>
        <v>0</v>
      </c>
      <c r="Y31" s="88">
        <f t="shared" si="3"/>
        <v>0</v>
      </c>
      <c r="Z31" s="88">
        <f t="shared" si="4"/>
        <v>0</v>
      </c>
      <c r="AA31" s="88">
        <f>SUMIF(P7:P79,20,O7:O79)</f>
        <v>0</v>
      </c>
      <c r="AB31" s="50" t="str">
        <f>IF(W31&gt;='Request #34'!AA31,"OK","Alert,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5"/>
        <v>26</v>
      </c>
      <c r="H32" s="205" t="str">
        <f t="shared" si="5"/>
        <v>Other Fees</v>
      </c>
      <c r="I32" s="247">
        <f t="shared" si="5"/>
        <v>0</v>
      </c>
      <c r="K32" s="159"/>
      <c r="L32" s="157"/>
      <c r="M32" s="157"/>
      <c r="N32" s="154"/>
      <c r="O32" s="155"/>
      <c r="P32" s="158"/>
      <c r="R32" s="50" t="str">
        <f>IF(V32='Request #34'!V32,"OK","Send in Change Order")</f>
        <v>OK</v>
      </c>
      <c r="S32" s="85">
        <v>21</v>
      </c>
      <c r="T32" s="86" t="str">
        <f>'Request #34'!T32</f>
        <v>Other Contracts</v>
      </c>
      <c r="U32" s="218">
        <f>'Request #34'!U32</f>
        <v>0</v>
      </c>
      <c r="V32" s="87">
        <f>'Request #34'!V32</f>
        <v>0</v>
      </c>
      <c r="W32" s="88">
        <f>SUMIF(F7:F79,21,E7:E79)</f>
        <v>0</v>
      </c>
      <c r="X32" s="88">
        <f>'Request #34'!Y32</f>
        <v>0</v>
      </c>
      <c r="Y32" s="88">
        <f t="shared" si="3"/>
        <v>0</v>
      </c>
      <c r="Z32" s="88">
        <f t="shared" si="4"/>
        <v>0</v>
      </c>
      <c r="AA32" s="88">
        <f>SUMIF(P7:P79,21,O7:O79)</f>
        <v>0</v>
      </c>
      <c r="AB32" s="50" t="str">
        <f>IF(W32&gt;='Request #34'!AA32,"OK","Alert,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5"/>
        <v>27</v>
      </c>
      <c r="H33" s="205" t="str">
        <f t="shared" si="5"/>
        <v>Other Fees</v>
      </c>
      <c r="I33" s="247">
        <f t="shared" si="5"/>
        <v>0</v>
      </c>
      <c r="K33" s="159"/>
      <c r="L33" s="157"/>
      <c r="M33" s="157"/>
      <c r="N33" s="154"/>
      <c r="O33" s="155"/>
      <c r="P33" s="158"/>
      <c r="R33" s="50" t="str">
        <f>IF(V33='Request #34'!V33,"OK","Send in Change Order")</f>
        <v>OK</v>
      </c>
      <c r="S33" s="85">
        <v>22</v>
      </c>
      <c r="T33" s="86" t="str">
        <f>'Request #34'!T33</f>
        <v>Other Contracts</v>
      </c>
      <c r="U33" s="218">
        <f>'Request #34'!U33</f>
        <v>0</v>
      </c>
      <c r="V33" s="87">
        <f>'Request #34'!V33</f>
        <v>0</v>
      </c>
      <c r="W33" s="88">
        <f>SUMIF(F7:F79,22,E7:E79)</f>
        <v>0</v>
      </c>
      <c r="X33" s="88">
        <f>'Request #34'!Y33</f>
        <v>0</v>
      </c>
      <c r="Y33" s="88">
        <f t="shared" si="3"/>
        <v>0</v>
      </c>
      <c r="Z33" s="88">
        <f t="shared" si="4"/>
        <v>0</v>
      </c>
      <c r="AA33" s="88">
        <f>SUMIF(P7:P79,22,O7:O79)</f>
        <v>0</v>
      </c>
      <c r="AB33" s="50" t="str">
        <f>IF(W33&gt;='Request #34'!AA33,"OK","Alert,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5"/>
        <v>28</v>
      </c>
      <c r="H34" s="205" t="str">
        <f t="shared" si="5"/>
        <v>Other Fees</v>
      </c>
      <c r="I34" s="247">
        <f t="shared" si="5"/>
        <v>0</v>
      </c>
      <c r="K34" s="159"/>
      <c r="L34" s="157"/>
      <c r="M34" s="157"/>
      <c r="N34" s="154"/>
      <c r="O34" s="155"/>
      <c r="P34" s="158"/>
      <c r="R34" s="50" t="str">
        <f>IF(V34='Request #34'!V34,"OK","Send in Change Order")</f>
        <v>OK</v>
      </c>
      <c r="S34" s="85">
        <v>23</v>
      </c>
      <c r="T34" s="86" t="str">
        <f>'Request #34'!T34</f>
        <v>Other Contracts</v>
      </c>
      <c r="U34" s="218">
        <f>'Request #34'!U34</f>
        <v>0</v>
      </c>
      <c r="V34" s="87">
        <f>'Request #34'!V34</f>
        <v>0</v>
      </c>
      <c r="W34" s="88">
        <f>SUMIF(F7:F79,23,E7:E79)</f>
        <v>0</v>
      </c>
      <c r="X34" s="88">
        <f>'Request #34'!Y34</f>
        <v>0</v>
      </c>
      <c r="Y34" s="88">
        <f t="shared" si="3"/>
        <v>0</v>
      </c>
      <c r="Z34" s="88">
        <f t="shared" si="4"/>
        <v>0</v>
      </c>
      <c r="AA34" s="88">
        <f>SUMIF(P7:P79,23,O7:O79)</f>
        <v>0</v>
      </c>
      <c r="AB34" s="50" t="str">
        <f>IF(W34&gt;='Request #34'!AA34,"OK","Alert,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5"/>
        <v>29</v>
      </c>
      <c r="H35" s="205" t="str">
        <f t="shared" si="5"/>
        <v>Other Fees</v>
      </c>
      <c r="I35" s="247">
        <f t="shared" si="5"/>
        <v>0</v>
      </c>
      <c r="K35" s="159"/>
      <c r="L35" s="157"/>
      <c r="M35" s="157"/>
      <c r="N35" s="154"/>
      <c r="O35" s="155"/>
      <c r="P35" s="158"/>
      <c r="R35" s="50" t="str">
        <f>IF(V35='Request #34'!V35,"OK","Send in Change Order")</f>
        <v>OK</v>
      </c>
      <c r="S35" s="85">
        <v>24</v>
      </c>
      <c r="T35" s="86" t="str">
        <f>'Request #34'!T35</f>
        <v>Other Contracts</v>
      </c>
      <c r="U35" s="218">
        <f>'Request #34'!U35</f>
        <v>0</v>
      </c>
      <c r="V35" s="87">
        <f>'Request #34'!V35</f>
        <v>0</v>
      </c>
      <c r="W35" s="88">
        <f>SUMIF(F7:F79,24,E7:E79)</f>
        <v>0</v>
      </c>
      <c r="X35" s="88">
        <f>'Request #34'!Y35</f>
        <v>0</v>
      </c>
      <c r="Y35" s="88">
        <f t="shared" si="3"/>
        <v>0</v>
      </c>
      <c r="Z35" s="88">
        <f t="shared" si="4"/>
        <v>0</v>
      </c>
      <c r="AA35" s="88">
        <f>SUMIF(P7:P79,24,O7:O79)</f>
        <v>0</v>
      </c>
      <c r="AB35" s="50" t="str">
        <f>IF(W35&gt;='Request #34'!AA35,"OK","Alert,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5"/>
        <v>30</v>
      </c>
      <c r="H36" s="205" t="str">
        <f t="shared" si="5"/>
        <v>Other Fees</v>
      </c>
      <c r="I36" s="247">
        <f t="shared" si="5"/>
        <v>0</v>
      </c>
      <c r="K36" s="159"/>
      <c r="L36" s="157"/>
      <c r="M36" s="157"/>
      <c r="N36" s="154"/>
      <c r="O36" s="155"/>
      <c r="P36" s="158"/>
      <c r="R36" s="50" t="str">
        <f>IF(V36='Request #34'!V36,"OK","Send in Change Order")</f>
        <v>OK</v>
      </c>
      <c r="S36" s="85">
        <v>25</v>
      </c>
      <c r="T36" s="86" t="str">
        <f>'Request #34'!T36</f>
        <v>Other Contracts</v>
      </c>
      <c r="U36" s="218">
        <f>'Request #34'!U36</f>
        <v>0</v>
      </c>
      <c r="V36" s="87">
        <f>'Request #34'!V36</f>
        <v>0</v>
      </c>
      <c r="W36" s="88">
        <f>SUMIF(F7:F79,25,E7:E79)</f>
        <v>0</v>
      </c>
      <c r="X36" s="88">
        <f>'Request #34'!Y36</f>
        <v>0</v>
      </c>
      <c r="Y36" s="88">
        <f t="shared" si="3"/>
        <v>0</v>
      </c>
      <c r="Z36" s="88">
        <f t="shared" si="4"/>
        <v>0</v>
      </c>
      <c r="AA36" s="88">
        <f>SUMIF(P7:P79,25,O7:O79)</f>
        <v>0</v>
      </c>
      <c r="AB36" s="50" t="str">
        <f>IF(W36&gt;='Request #34'!AA36,"OK","Alert,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5"/>
        <v>31</v>
      </c>
      <c r="H37" s="205" t="str">
        <f t="shared" si="5"/>
        <v>Other Fees</v>
      </c>
      <c r="I37" s="247">
        <f t="shared" si="5"/>
        <v>0</v>
      </c>
      <c r="K37" s="159"/>
      <c r="L37" s="157"/>
      <c r="M37" s="157"/>
      <c r="N37" s="154"/>
      <c r="O37" s="155"/>
      <c r="P37" s="158"/>
      <c r="R37" s="50" t="str">
        <f>IF(V37='Request #34'!V37,"OK","Send in Change Order")</f>
        <v>OK</v>
      </c>
      <c r="S37" s="85">
        <v>26</v>
      </c>
      <c r="T37" s="86" t="str">
        <f>'Request #34'!T37</f>
        <v>Other Fees</v>
      </c>
      <c r="U37" s="218">
        <f>'Request #34'!U37</f>
        <v>0</v>
      </c>
      <c r="V37" s="87">
        <f>'Request #34'!V37</f>
        <v>0</v>
      </c>
      <c r="W37" s="88">
        <f>SUMIF(F7:F79,26,E7:E79)</f>
        <v>0</v>
      </c>
      <c r="X37" s="88">
        <f>'Request #34'!Y37</f>
        <v>0</v>
      </c>
      <c r="Y37" s="88">
        <f t="shared" si="3"/>
        <v>0</v>
      </c>
      <c r="Z37" s="88">
        <f t="shared" si="4"/>
        <v>0</v>
      </c>
      <c r="AA37" s="88">
        <f>SUMIF(P7:P79,26,O7:O79)</f>
        <v>0</v>
      </c>
      <c r="AB37" s="50" t="str">
        <f>IF(W37&gt;='Request #34'!AA37,"OK","Alert,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5"/>
        <v>32</v>
      </c>
      <c r="H38" s="205" t="str">
        <f t="shared" si="5"/>
        <v>Other Fees</v>
      </c>
      <c r="I38" s="247">
        <f t="shared" si="5"/>
        <v>0</v>
      </c>
      <c r="K38" s="159"/>
      <c r="L38" s="157"/>
      <c r="M38" s="157"/>
      <c r="N38" s="154"/>
      <c r="O38" s="155"/>
      <c r="P38" s="158"/>
      <c r="R38" s="50" t="str">
        <f>IF(V38='Request #34'!V38,"OK","Send in Change Order")</f>
        <v>OK</v>
      </c>
      <c r="S38" s="85">
        <v>27</v>
      </c>
      <c r="T38" s="86" t="str">
        <f>'Request #34'!T38</f>
        <v>Other Fees</v>
      </c>
      <c r="U38" s="218">
        <f>'Request #34'!U38</f>
        <v>0</v>
      </c>
      <c r="V38" s="87">
        <f>'Request #34'!V38</f>
        <v>0</v>
      </c>
      <c r="W38" s="88">
        <f>SUMIF(F7:F79,27,E7:E79)</f>
        <v>0</v>
      </c>
      <c r="X38" s="88">
        <f>'Request #34'!Y38</f>
        <v>0</v>
      </c>
      <c r="Y38" s="88">
        <f t="shared" si="3"/>
        <v>0</v>
      </c>
      <c r="Z38" s="88">
        <f t="shared" si="4"/>
        <v>0</v>
      </c>
      <c r="AA38" s="88">
        <f>SUMIF(P7:P79,27,O7:O79)</f>
        <v>0</v>
      </c>
      <c r="AB38" s="50" t="str">
        <f>IF(W38&gt;='Request #34'!AA38,"OK","Alert,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5"/>
        <v>33</v>
      </c>
      <c r="H39" s="205" t="str">
        <f t="shared" si="5"/>
        <v>Other Fees</v>
      </c>
      <c r="I39" s="247">
        <f t="shared" si="5"/>
        <v>0</v>
      </c>
      <c r="K39" s="159"/>
      <c r="L39" s="157"/>
      <c r="M39" s="157"/>
      <c r="N39" s="154"/>
      <c r="O39" s="155"/>
      <c r="P39" s="158"/>
      <c r="R39" s="50" t="str">
        <f>IF(V39='Request #34'!V39,"OK","Send in Change Order")</f>
        <v>OK</v>
      </c>
      <c r="S39" s="85">
        <v>28</v>
      </c>
      <c r="T39" s="86" t="str">
        <f>'Request #34'!T39</f>
        <v>Other Fees</v>
      </c>
      <c r="U39" s="218">
        <f>'Request #34'!U39</f>
        <v>0</v>
      </c>
      <c r="V39" s="87">
        <f>'Request #34'!V39</f>
        <v>0</v>
      </c>
      <c r="W39" s="88">
        <f>SUMIF(F7:F79,28,E7:E79)</f>
        <v>0</v>
      </c>
      <c r="X39" s="88">
        <f>'Request #34'!Y39</f>
        <v>0</v>
      </c>
      <c r="Y39" s="88">
        <f t="shared" si="3"/>
        <v>0</v>
      </c>
      <c r="Z39" s="88">
        <f t="shared" si="4"/>
        <v>0</v>
      </c>
      <c r="AA39" s="88">
        <f>SUMIF(P7:P79,28,O7:O79)</f>
        <v>0</v>
      </c>
      <c r="AB39" s="50" t="str">
        <f>IF(W39&gt;='Request #34'!AA39,"OK","Alert,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5"/>
        <v>0</v>
      </c>
      <c r="H40" s="205">
        <f t="shared" si="5"/>
        <v>0</v>
      </c>
      <c r="I40" s="247">
        <f t="shared" si="5"/>
        <v>0</v>
      </c>
      <c r="K40" s="159"/>
      <c r="L40" s="157"/>
      <c r="M40" s="157"/>
      <c r="N40" s="154"/>
      <c r="O40" s="155"/>
      <c r="P40" s="158"/>
      <c r="R40" s="50" t="str">
        <f>IF(V40='Request #34'!V40,"OK","Send in Change Order")</f>
        <v>OK</v>
      </c>
      <c r="S40" s="85">
        <v>29</v>
      </c>
      <c r="T40" s="86" t="str">
        <f>'Request #34'!T40</f>
        <v>Other Fees</v>
      </c>
      <c r="U40" s="218">
        <f>'Request #34'!U40</f>
        <v>0</v>
      </c>
      <c r="V40" s="87">
        <f>'Request #34'!V40</f>
        <v>0</v>
      </c>
      <c r="W40" s="88">
        <f>SUMIF(F7:F79,29,E7:E79)</f>
        <v>0</v>
      </c>
      <c r="X40" s="88">
        <f>'Request #34'!Y40</f>
        <v>0</v>
      </c>
      <c r="Y40" s="88">
        <f t="shared" si="3"/>
        <v>0</v>
      </c>
      <c r="Z40" s="88">
        <f t="shared" si="4"/>
        <v>0</v>
      </c>
      <c r="AA40" s="88">
        <f>SUMIF(P7:P79,29,O7:O79)</f>
        <v>0</v>
      </c>
      <c r="AB40" s="50" t="str">
        <f>IF(W40&gt;='Request #34'!AA40,"OK","Alert,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6">S46</f>
        <v>Cost</v>
      </c>
      <c r="H41" s="205">
        <f t="shared" si="6"/>
        <v>0</v>
      </c>
      <c r="I41" s="247">
        <f t="shared" si="6"/>
        <v>0</v>
      </c>
      <c r="K41" s="159"/>
      <c r="L41" s="157"/>
      <c r="M41" s="157"/>
      <c r="N41" s="154"/>
      <c r="O41" s="155"/>
      <c r="P41" s="158"/>
      <c r="R41" s="50" t="str">
        <f>IF(V41='Request #34'!V41,"OK","Send in Change Order")</f>
        <v>OK</v>
      </c>
      <c r="S41" s="85">
        <v>30</v>
      </c>
      <c r="T41" s="86" t="str">
        <f>'Request #34'!T41</f>
        <v>Other Fees</v>
      </c>
      <c r="U41" s="218">
        <f>'Request #34'!U41</f>
        <v>0</v>
      </c>
      <c r="V41" s="87">
        <f>'Request #34'!V41</f>
        <v>0</v>
      </c>
      <c r="W41" s="88">
        <f>SUMIF(F7:F79,30,E7:E79)</f>
        <v>0</v>
      </c>
      <c r="X41" s="88">
        <f>'Request #34'!Y41</f>
        <v>0</v>
      </c>
      <c r="Y41" s="88">
        <f t="shared" si="3"/>
        <v>0</v>
      </c>
      <c r="Z41" s="88">
        <f t="shared" si="4"/>
        <v>0</v>
      </c>
      <c r="AA41" s="88">
        <f>SUMIF(P7:P79,30,O7:O79)</f>
        <v>0</v>
      </c>
      <c r="AB41" s="50" t="str">
        <f>IF(W41&gt;='Request #34'!AA41,"OK","Alert,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6"/>
        <v>Item</v>
      </c>
      <c r="H42" s="205" t="str">
        <f t="shared" si="6"/>
        <v>Account Name</v>
      </c>
      <c r="I42" s="247">
        <f t="shared" si="6"/>
        <v>0</v>
      </c>
      <c r="K42" s="159"/>
      <c r="L42" s="157"/>
      <c r="M42" s="157"/>
      <c r="N42" s="154"/>
      <c r="O42" s="155"/>
      <c r="P42" s="158"/>
      <c r="R42" s="50" t="str">
        <f>IF(V42='Request #34'!V42,"OK","Send in Change Order")</f>
        <v>OK</v>
      </c>
      <c r="S42" s="85">
        <v>31</v>
      </c>
      <c r="T42" s="86" t="str">
        <f>'Request #34'!T42</f>
        <v>Other Fees</v>
      </c>
      <c r="U42" s="218">
        <f>'Request #34'!U42</f>
        <v>0</v>
      </c>
      <c r="V42" s="87">
        <f>'Request #34'!V42</f>
        <v>0</v>
      </c>
      <c r="W42" s="88">
        <f>SUMIF(F7:F79,31,E7:E79)</f>
        <v>0</v>
      </c>
      <c r="X42" s="88">
        <f>'Request #34'!Y42</f>
        <v>0</v>
      </c>
      <c r="Y42" s="88">
        <f t="shared" si="3"/>
        <v>0</v>
      </c>
      <c r="Z42" s="88">
        <f t="shared" si="4"/>
        <v>0</v>
      </c>
      <c r="AA42" s="88">
        <f>SUMIF(P7:P79,31,O7:O79)</f>
        <v>0</v>
      </c>
      <c r="AB42" s="50" t="str">
        <f>IF(W42&gt;='Request #34'!AA42,"OK","Alert,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6"/>
        <v>0</v>
      </c>
      <c r="H43" s="205">
        <f t="shared" si="6"/>
        <v>0</v>
      </c>
      <c r="I43" s="247">
        <f t="shared" si="6"/>
        <v>0</v>
      </c>
      <c r="K43" s="159"/>
      <c r="L43" s="157"/>
      <c r="M43" s="157"/>
      <c r="N43" s="154"/>
      <c r="O43" s="155"/>
      <c r="P43" s="158"/>
      <c r="R43" s="50" t="str">
        <f>IF(V43='Request #34'!V43,"OK","Send in Change Order")</f>
        <v>OK</v>
      </c>
      <c r="S43" s="85">
        <v>32</v>
      </c>
      <c r="T43" s="86" t="str">
        <f>'Request #34'!T43</f>
        <v>Other Fees</v>
      </c>
      <c r="U43" s="218">
        <f>'Request #34'!U43</f>
        <v>0</v>
      </c>
      <c r="V43" s="87">
        <f>'Request #34'!V43</f>
        <v>0</v>
      </c>
      <c r="W43" s="88">
        <f>SUMIF(F7:F79,32,E7:E79)</f>
        <v>0</v>
      </c>
      <c r="X43" s="88">
        <f>'Request #34'!Y43</f>
        <v>0</v>
      </c>
      <c r="Y43" s="88">
        <f t="shared" si="3"/>
        <v>0</v>
      </c>
      <c r="Z43" s="88">
        <f t="shared" si="4"/>
        <v>0</v>
      </c>
      <c r="AA43" s="88">
        <f>SUMIF(P7:P79,32,O7:O79)</f>
        <v>0</v>
      </c>
      <c r="AB43" s="50" t="str">
        <f>IF(W43&gt;='Request #34'!AA43,"OK","Alert,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6"/>
        <v>38</v>
      </c>
      <c r="H44" s="205" t="str">
        <f t="shared" si="6"/>
        <v>Other Fees</v>
      </c>
      <c r="I44" s="247">
        <f t="shared" si="6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#34'!V44,"OK","Send in Change Order")</f>
        <v>OK</v>
      </c>
      <c r="S44" s="85">
        <v>33</v>
      </c>
      <c r="T44" s="86" t="str">
        <f>'Request #34'!T44</f>
        <v>Other Fees</v>
      </c>
      <c r="U44" s="218">
        <f>'Request #34'!U44</f>
        <v>0</v>
      </c>
      <c r="V44" s="87">
        <f>'Request #34'!V44</f>
        <v>0</v>
      </c>
      <c r="W44" s="88">
        <f>SUMIF(F7:F79,33,E7:E79)</f>
        <v>0</v>
      </c>
      <c r="X44" s="88">
        <f>'Request #34'!Y44</f>
        <v>0</v>
      </c>
      <c r="Y44" s="88">
        <f t="shared" si="3"/>
        <v>0</v>
      </c>
      <c r="Z44" s="88">
        <f t="shared" si="4"/>
        <v>0</v>
      </c>
      <c r="AA44" s="88">
        <f>SUMIF(P7:P79,33,O7:O79)</f>
        <v>0</v>
      </c>
      <c r="AB44" s="50" t="str">
        <f>IF(W44&gt;='Request #34'!AA44,"OK","Alert,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6"/>
        <v>39</v>
      </c>
      <c r="H45" s="205" t="str">
        <f t="shared" si="6"/>
        <v>Other Fees</v>
      </c>
      <c r="I45" s="247">
        <f t="shared" si="6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6"/>
        <v>40</v>
      </c>
      <c r="H46" s="205" t="str">
        <f t="shared" si="6"/>
        <v>Other Fees</v>
      </c>
      <c r="I46" s="247">
        <f t="shared" si="6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6"/>
        <v>41</v>
      </c>
      <c r="H47" s="205" t="str">
        <f t="shared" si="6"/>
        <v>Other Fees</v>
      </c>
      <c r="I47" s="247">
        <f t="shared" si="6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6"/>
        <v>42</v>
      </c>
      <c r="H48" s="205" t="str">
        <f t="shared" si="6"/>
        <v>Other Fees</v>
      </c>
      <c r="I48" s="247">
        <f t="shared" si="6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6"/>
        <v>43</v>
      </c>
      <c r="H49" s="205" t="str">
        <f t="shared" si="6"/>
        <v>Other Fees</v>
      </c>
      <c r="I49" s="247">
        <f t="shared" si="6"/>
        <v>0</v>
      </c>
      <c r="K49" s="159"/>
      <c r="L49" s="157"/>
      <c r="M49" s="157"/>
      <c r="N49" s="154"/>
      <c r="O49" s="155"/>
      <c r="P49" s="158"/>
      <c r="R49" s="50" t="str">
        <f>IF(V49='Request #34'!V49,"OK","Send in Change Order")</f>
        <v>OK</v>
      </c>
      <c r="S49" s="85">
        <v>38</v>
      </c>
      <c r="T49" s="86" t="str">
        <f>'Request #34'!T49</f>
        <v>Other Fees</v>
      </c>
      <c r="U49" s="218">
        <f>'Request #34'!U49</f>
        <v>0</v>
      </c>
      <c r="V49" s="87">
        <f>'Request #34'!V49</f>
        <v>0</v>
      </c>
      <c r="W49" s="88">
        <f>SUMIF(F7:F79,38,E7:E79)</f>
        <v>0</v>
      </c>
      <c r="X49" s="88">
        <f>'Request #34'!Y49</f>
        <v>0</v>
      </c>
      <c r="Y49" s="88">
        <f t="shared" si="3"/>
        <v>0</v>
      </c>
      <c r="Z49" s="88">
        <f t="shared" si="4"/>
        <v>0</v>
      </c>
      <c r="AA49" s="88">
        <f>SUMIF(P7:P79,38,O7:O79)</f>
        <v>0</v>
      </c>
      <c r="AB49" s="50" t="str">
        <f>IF(W49&gt;='Request #34'!AA49,"OK","Alert,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6"/>
        <v>44</v>
      </c>
      <c r="H50" s="205" t="str">
        <f t="shared" si="6"/>
        <v>Other Fees</v>
      </c>
      <c r="I50" s="247">
        <f t="shared" si="6"/>
        <v>0</v>
      </c>
      <c r="K50" s="159"/>
      <c r="L50" s="157"/>
      <c r="M50" s="157"/>
      <c r="N50" s="154"/>
      <c r="O50" s="155"/>
      <c r="P50" s="158"/>
      <c r="R50" s="50" t="str">
        <f>IF(V50='Request #34'!V50,"OK","Send in Change Order")</f>
        <v>OK</v>
      </c>
      <c r="S50" s="85">
        <v>39</v>
      </c>
      <c r="T50" s="86" t="str">
        <f>'Request #34'!T50</f>
        <v>Other Fees</v>
      </c>
      <c r="U50" s="218">
        <f>'Request #34'!U50</f>
        <v>0</v>
      </c>
      <c r="V50" s="87">
        <f>'Request #34'!V50</f>
        <v>0</v>
      </c>
      <c r="W50" s="88">
        <f>SUMIF(F7:F79,39,E7:E79)</f>
        <v>0</v>
      </c>
      <c r="X50" s="88">
        <f>'Request #34'!Y50</f>
        <v>0</v>
      </c>
      <c r="Y50" s="88">
        <f t="shared" si="3"/>
        <v>0</v>
      </c>
      <c r="Z50" s="88">
        <f t="shared" si="4"/>
        <v>0</v>
      </c>
      <c r="AA50" s="88">
        <f>SUMIF(P7:P79,39,O7:O79)</f>
        <v>0</v>
      </c>
      <c r="AB50" s="50" t="str">
        <f>IF(W50&gt;='Request #34'!AA50,"OK","Alert,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6"/>
        <v>45</v>
      </c>
      <c r="H51" s="205" t="str">
        <f t="shared" si="6"/>
        <v>Other Fees</v>
      </c>
      <c r="I51" s="247">
        <f t="shared" si="6"/>
        <v>0</v>
      </c>
      <c r="K51" s="159"/>
      <c r="L51" s="157"/>
      <c r="M51" s="157"/>
      <c r="N51" s="154"/>
      <c r="O51" s="155"/>
      <c r="P51" s="158"/>
      <c r="R51" s="50" t="str">
        <f>IF(V51='Request #34'!V51,"OK","Send in Change Order")</f>
        <v>OK</v>
      </c>
      <c r="S51" s="85">
        <v>40</v>
      </c>
      <c r="T51" s="86" t="str">
        <f>'Request #34'!T51</f>
        <v>Other Fees</v>
      </c>
      <c r="U51" s="218">
        <f>'Request #34'!U51</f>
        <v>0</v>
      </c>
      <c r="V51" s="87">
        <f>'Request #34'!V51</f>
        <v>0</v>
      </c>
      <c r="W51" s="88">
        <f>SUMIF(F7:F79,40,E7:E79)</f>
        <v>0</v>
      </c>
      <c r="X51" s="88">
        <f>'Request #34'!Y51</f>
        <v>0</v>
      </c>
      <c r="Y51" s="88">
        <f t="shared" si="3"/>
        <v>0</v>
      </c>
      <c r="Z51" s="88">
        <f t="shared" si="4"/>
        <v>0</v>
      </c>
      <c r="AA51" s="88">
        <f>SUMIF(P7:P79,40,O7:O79)</f>
        <v>0</v>
      </c>
      <c r="AB51" s="50" t="str">
        <f>IF(W51&gt;='Request #34'!AA51,"OK","Alert,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6"/>
        <v>46</v>
      </c>
      <c r="H52" s="205" t="str">
        <f t="shared" si="6"/>
        <v>Other Fees</v>
      </c>
      <c r="I52" s="247">
        <f t="shared" si="6"/>
        <v>0</v>
      </c>
      <c r="K52" s="159"/>
      <c r="L52" s="157"/>
      <c r="M52" s="157"/>
      <c r="N52" s="154"/>
      <c r="O52" s="155"/>
      <c r="P52" s="158"/>
      <c r="R52" s="50" t="str">
        <f>IF(V52='Request #34'!V52,"OK","Send in Change Order")</f>
        <v>OK</v>
      </c>
      <c r="S52" s="85">
        <v>41</v>
      </c>
      <c r="T52" s="86" t="str">
        <f>'Request #34'!T52</f>
        <v>Other Fees</v>
      </c>
      <c r="U52" s="218">
        <f>'Request #34'!U52</f>
        <v>0</v>
      </c>
      <c r="V52" s="87">
        <f>'Request #34'!V52</f>
        <v>0</v>
      </c>
      <c r="W52" s="88">
        <f>SUMIF(F7:F79,41,E7:E79)</f>
        <v>0</v>
      </c>
      <c r="X52" s="88">
        <f>'Request #34'!Y52</f>
        <v>0</v>
      </c>
      <c r="Y52" s="88">
        <f t="shared" si="3"/>
        <v>0</v>
      </c>
      <c r="Z52" s="88">
        <f t="shared" si="4"/>
        <v>0</v>
      </c>
      <c r="AA52" s="88">
        <f>SUMIF(P7:P79,41,O7:O79)</f>
        <v>0</v>
      </c>
      <c r="AB52" s="50" t="str">
        <f>IF(W52&gt;='Request #34'!AA52,"OK","Alert,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6"/>
        <v>47</v>
      </c>
      <c r="H53" s="205" t="str">
        <f t="shared" si="6"/>
        <v>Other Fees</v>
      </c>
      <c r="I53" s="247">
        <f t="shared" si="6"/>
        <v>0</v>
      </c>
      <c r="K53" s="159"/>
      <c r="L53" s="157"/>
      <c r="M53" s="157"/>
      <c r="N53" s="154"/>
      <c r="O53" s="155"/>
      <c r="P53" s="158"/>
      <c r="R53" s="50" t="str">
        <f>IF(V53='Request #34'!V53,"OK","Send in Change Order")</f>
        <v>OK</v>
      </c>
      <c r="S53" s="85">
        <v>42</v>
      </c>
      <c r="T53" s="86" t="str">
        <f>'Request #34'!T53</f>
        <v>Other Fees</v>
      </c>
      <c r="U53" s="218">
        <f>'Request #34'!U53</f>
        <v>0</v>
      </c>
      <c r="V53" s="87">
        <f>'Request #34'!V53</f>
        <v>0</v>
      </c>
      <c r="W53" s="88">
        <f>SUMIF(F7:F79,42,E7:E79)</f>
        <v>0</v>
      </c>
      <c r="X53" s="88">
        <f>'Request #34'!Y53</f>
        <v>0</v>
      </c>
      <c r="Y53" s="88">
        <f t="shared" si="3"/>
        <v>0</v>
      </c>
      <c r="Z53" s="88">
        <f t="shared" si="4"/>
        <v>0</v>
      </c>
      <c r="AA53" s="88">
        <f>SUMIF(P7:P79,42,O7:O79)</f>
        <v>0</v>
      </c>
      <c r="AB53" s="50" t="str">
        <f>IF(W53&gt;='Request #34'!AA53,"OK","Alert,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6"/>
        <v>48</v>
      </c>
      <c r="H54" s="205" t="str">
        <f t="shared" si="6"/>
        <v>Other Fees</v>
      </c>
      <c r="I54" s="247">
        <f t="shared" si="6"/>
        <v>0</v>
      </c>
      <c r="K54" s="159"/>
      <c r="L54" s="157"/>
      <c r="M54" s="157"/>
      <c r="N54" s="154"/>
      <c r="O54" s="155"/>
      <c r="P54" s="158"/>
      <c r="R54" s="50" t="str">
        <f>IF(V54='Request #34'!V54,"OK","Send in Change Order")</f>
        <v>OK</v>
      </c>
      <c r="S54" s="85">
        <v>43</v>
      </c>
      <c r="T54" s="86" t="str">
        <f>'Request #34'!T54</f>
        <v>Other Fees</v>
      </c>
      <c r="U54" s="218">
        <f>'Request #34'!U54</f>
        <v>0</v>
      </c>
      <c r="V54" s="87">
        <f>'Request #34'!V54</f>
        <v>0</v>
      </c>
      <c r="W54" s="88">
        <f>SUMIF(F7:F79,43,E7:E79)</f>
        <v>0</v>
      </c>
      <c r="X54" s="88">
        <f>'Request #34'!Y54</f>
        <v>0</v>
      </c>
      <c r="Y54" s="88">
        <f t="shared" si="3"/>
        <v>0</v>
      </c>
      <c r="Z54" s="88">
        <f t="shared" si="4"/>
        <v>0</v>
      </c>
      <c r="AA54" s="88">
        <f>SUMIF(P7:P79,43,O7:O79)</f>
        <v>0</v>
      </c>
      <c r="AB54" s="50" t="str">
        <f>IF(W54&gt;='Request #34'!AA54,"OK","Alert,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6"/>
        <v>49</v>
      </c>
      <c r="H55" s="205" t="str">
        <f t="shared" si="6"/>
        <v>Other Fees</v>
      </c>
      <c r="I55" s="247">
        <f t="shared" si="6"/>
        <v>0</v>
      </c>
      <c r="K55" s="159"/>
      <c r="L55" s="157"/>
      <c r="M55" s="157"/>
      <c r="N55" s="154"/>
      <c r="O55" s="155"/>
      <c r="P55" s="158"/>
      <c r="R55" s="50" t="str">
        <f>IF(V55='Request #34'!V55,"OK","Send in Change Order")</f>
        <v>OK</v>
      </c>
      <c r="S55" s="85">
        <v>44</v>
      </c>
      <c r="T55" s="86" t="str">
        <f>'Request #34'!T55</f>
        <v>Other Fees</v>
      </c>
      <c r="U55" s="218">
        <f>'Request #34'!U55</f>
        <v>0</v>
      </c>
      <c r="V55" s="87">
        <f>'Request #34'!V55</f>
        <v>0</v>
      </c>
      <c r="W55" s="88">
        <f>SUMIF(F7:F79,44,E7:E79)</f>
        <v>0</v>
      </c>
      <c r="X55" s="88">
        <f>'Request #34'!Y55</f>
        <v>0</v>
      </c>
      <c r="Y55" s="88">
        <f t="shared" si="3"/>
        <v>0</v>
      </c>
      <c r="Z55" s="88">
        <f t="shared" si="4"/>
        <v>0</v>
      </c>
      <c r="AA55" s="88">
        <f>SUMIF(P7:P79,44,O7:O79)</f>
        <v>0</v>
      </c>
      <c r="AB55" s="50" t="str">
        <f>IF(W55&gt;='Request #34'!AA55,"OK","Alert,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6"/>
        <v>50</v>
      </c>
      <c r="H56" s="205" t="str">
        <f t="shared" si="6"/>
        <v>Other Fees</v>
      </c>
      <c r="I56" s="247">
        <f t="shared" si="6"/>
        <v>0</v>
      </c>
      <c r="K56" s="159"/>
      <c r="L56" s="157"/>
      <c r="M56" s="157"/>
      <c r="N56" s="154"/>
      <c r="O56" s="155"/>
      <c r="P56" s="158"/>
      <c r="R56" s="50" t="str">
        <f>IF(V56='Request #34'!V56,"OK","Send in Change Order")</f>
        <v>OK</v>
      </c>
      <c r="S56" s="85">
        <v>45</v>
      </c>
      <c r="T56" s="86" t="str">
        <f>'Request #34'!T56</f>
        <v>Other Fees</v>
      </c>
      <c r="U56" s="218">
        <f>'Request #34'!U56</f>
        <v>0</v>
      </c>
      <c r="V56" s="87">
        <f>'Request #34'!V56</f>
        <v>0</v>
      </c>
      <c r="W56" s="88">
        <f>SUMIF(F7:F79,45,E7:E79)</f>
        <v>0</v>
      </c>
      <c r="X56" s="88">
        <f>'Request #34'!Y56</f>
        <v>0</v>
      </c>
      <c r="Y56" s="88">
        <f t="shared" si="3"/>
        <v>0</v>
      </c>
      <c r="Z56" s="88">
        <f t="shared" si="4"/>
        <v>0</v>
      </c>
      <c r="AA56" s="88">
        <f>SUMIF(P7:P79,45,O7:O79)</f>
        <v>0</v>
      </c>
      <c r="AB56" s="50" t="str">
        <f>IF(W56&gt;='Request #34'!AA56,"OK","Alert,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7">S62</f>
        <v>51</v>
      </c>
      <c r="H57" s="205" t="str">
        <f t="shared" si="7"/>
        <v>Other Fees</v>
      </c>
      <c r="I57" s="247">
        <f t="shared" si="7"/>
        <v>0</v>
      </c>
      <c r="K57" s="159"/>
      <c r="L57" s="157"/>
      <c r="M57" s="157"/>
      <c r="N57" s="154"/>
      <c r="O57" s="155"/>
      <c r="P57" s="158"/>
      <c r="R57" s="50" t="str">
        <f>IF(V57='Request #34'!V57,"OK","Send in Change Order")</f>
        <v>OK</v>
      </c>
      <c r="S57" s="85">
        <v>46</v>
      </c>
      <c r="T57" s="86" t="str">
        <f>'Request #34'!T57</f>
        <v>Other Fees</v>
      </c>
      <c r="U57" s="218">
        <f>'Request #34'!U57</f>
        <v>0</v>
      </c>
      <c r="V57" s="87">
        <f>'Request #34'!V57</f>
        <v>0</v>
      </c>
      <c r="W57" s="88">
        <f>SUMIF(F7:F79,46,E7:E79)</f>
        <v>0</v>
      </c>
      <c r="X57" s="88">
        <f>'Request #34'!Y57</f>
        <v>0</v>
      </c>
      <c r="Y57" s="88">
        <f t="shared" si="3"/>
        <v>0</v>
      </c>
      <c r="Z57" s="88">
        <f t="shared" si="4"/>
        <v>0</v>
      </c>
      <c r="AA57" s="88">
        <f>SUMIF(P7:P79,46,O7:O79)</f>
        <v>0</v>
      </c>
      <c r="AB57" s="50" t="str">
        <f>IF(W57&gt;='Request #34'!AA57,"OK","Alert,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7"/>
        <v>52</v>
      </c>
      <c r="H58" s="205" t="str">
        <f t="shared" si="7"/>
        <v>Worked Performed by Owner</v>
      </c>
      <c r="I58" s="247">
        <f t="shared" si="7"/>
        <v>0</v>
      </c>
      <c r="K58" s="159"/>
      <c r="L58" s="157"/>
      <c r="M58" s="157"/>
      <c r="N58" s="154"/>
      <c r="O58" s="155"/>
      <c r="P58" s="158"/>
      <c r="R58" s="50" t="str">
        <f>IF(V58='Request #34'!V58,"OK","Send in Change Order")</f>
        <v>OK</v>
      </c>
      <c r="S58" s="85">
        <v>47</v>
      </c>
      <c r="T58" s="86" t="str">
        <f>'Request #34'!T58</f>
        <v>Other Fees</v>
      </c>
      <c r="U58" s="218">
        <f>'Request #34'!U58</f>
        <v>0</v>
      </c>
      <c r="V58" s="87">
        <f>'Request #34'!V58</f>
        <v>0</v>
      </c>
      <c r="W58" s="88">
        <f>SUMIF(F7:F79,47,E7:E79)</f>
        <v>0</v>
      </c>
      <c r="X58" s="88">
        <f>'Request #34'!Y58</f>
        <v>0</v>
      </c>
      <c r="Y58" s="88">
        <f t="shared" si="3"/>
        <v>0</v>
      </c>
      <c r="Z58" s="122">
        <f>Z52-Z56-Z57</f>
        <v>0</v>
      </c>
      <c r="AA58" s="88">
        <f>SUMIF(P7:P79,47,O7:O79)</f>
        <v>0</v>
      </c>
      <c r="AB58" s="50" t="str">
        <f>IF(W58&gt;='Request #34'!AA58,"OK","Alert,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7"/>
        <v>53</v>
      </c>
      <c r="H59" s="205" t="str">
        <f t="shared" si="7"/>
        <v>Equipment (Major)</v>
      </c>
      <c r="I59" s="247">
        <f t="shared" si="7"/>
        <v>0</v>
      </c>
      <c r="K59" s="159"/>
      <c r="L59" s="157"/>
      <c r="M59" s="157"/>
      <c r="N59" s="154"/>
      <c r="O59" s="155"/>
      <c r="P59" s="158"/>
      <c r="R59" s="50" t="str">
        <f>IF(V59='Request #34'!V59,"OK","Send in Change Order")</f>
        <v>OK</v>
      </c>
      <c r="S59" s="85">
        <v>48</v>
      </c>
      <c r="T59" s="86" t="str">
        <f>'Request #34'!T59</f>
        <v>Other Fees</v>
      </c>
      <c r="U59" s="218">
        <f>'Request #34'!U59</f>
        <v>0</v>
      </c>
      <c r="V59" s="87">
        <f>'Request #34'!V59</f>
        <v>0</v>
      </c>
      <c r="W59" s="88">
        <f>SUMIF(F7:F79,48,E7:E79)</f>
        <v>0</v>
      </c>
      <c r="X59" s="88">
        <f>'Request #34'!Y59</f>
        <v>0</v>
      </c>
      <c r="Y59" s="88">
        <f t="shared" si="3"/>
        <v>0</v>
      </c>
      <c r="Z59" s="122">
        <f>Z53-Z57-Z58</f>
        <v>0</v>
      </c>
      <c r="AA59" s="88">
        <f>SUMIF(P7:P79,48,O7:O79)</f>
        <v>0</v>
      </c>
      <c r="AB59" s="50" t="str">
        <f>IF(W59&gt;='Request #34'!AA59,"OK","Alert,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7"/>
        <v>54</v>
      </c>
      <c r="H60" s="205" t="str">
        <f t="shared" si="7"/>
        <v>Contingency Fund</v>
      </c>
      <c r="I60" s="247">
        <f t="shared" si="7"/>
        <v>0</v>
      </c>
      <c r="K60" s="159"/>
      <c r="L60" s="157"/>
      <c r="M60" s="157"/>
      <c r="N60" s="154"/>
      <c r="O60" s="155"/>
      <c r="P60" s="158"/>
      <c r="R60" s="50" t="str">
        <f>IF(V60='Request #34'!V60,"OK","Send in Change Order")</f>
        <v>OK</v>
      </c>
      <c r="S60" s="85">
        <v>49</v>
      </c>
      <c r="T60" s="86" t="str">
        <f>'Request #34'!T60</f>
        <v>Other Fees</v>
      </c>
      <c r="U60" s="218">
        <f>'Request #34'!U60</f>
        <v>0</v>
      </c>
      <c r="V60" s="87">
        <f>'Request #34'!V60</f>
        <v>0</v>
      </c>
      <c r="W60" s="88">
        <f>SUMIF(F7:F79,49,E7:E79)</f>
        <v>0</v>
      </c>
      <c r="X60" s="88">
        <f>'Request #34'!Y60</f>
        <v>0</v>
      </c>
      <c r="Y60" s="88">
        <f t="shared" si="3"/>
        <v>0</v>
      </c>
      <c r="Z60" s="122">
        <f>Z54-Z58-Z59</f>
        <v>0</v>
      </c>
      <c r="AA60" s="88">
        <f>SUMIF(P7:P79,49,O7:O79)</f>
        <v>0</v>
      </c>
      <c r="AB60" s="50" t="str">
        <f>IF(W60&gt;='Request #34'!AA60,"OK","Alert,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7"/>
        <v>55</v>
      </c>
      <c r="H61" s="205">
        <f t="shared" si="7"/>
        <v>0</v>
      </c>
      <c r="I61" s="247">
        <f t="shared" si="7"/>
        <v>0</v>
      </c>
      <c r="K61" s="159"/>
      <c r="L61" s="157"/>
      <c r="M61" s="157"/>
      <c r="N61" s="154"/>
      <c r="O61" s="155"/>
      <c r="P61" s="158"/>
      <c r="R61" s="50" t="str">
        <f>IF(V61='Request #34'!V61,"OK","Send in Change Order")</f>
        <v>OK</v>
      </c>
      <c r="S61" s="85">
        <v>50</v>
      </c>
      <c r="T61" s="86" t="str">
        <f>'Request #34'!T61</f>
        <v>Other Fees</v>
      </c>
      <c r="U61" s="218">
        <f>'Request #34'!U61</f>
        <v>0</v>
      </c>
      <c r="V61" s="87">
        <f>'Request #34'!V61</f>
        <v>0</v>
      </c>
      <c r="W61" s="88">
        <f>SUMIF(F7:F79,50,E7:E79)</f>
        <v>0</v>
      </c>
      <c r="X61" s="88">
        <f>'Request #34'!Y61</f>
        <v>0</v>
      </c>
      <c r="Y61" s="88">
        <f t="shared" si="3"/>
        <v>0</v>
      </c>
      <c r="Z61" s="88">
        <f t="shared" si="4"/>
        <v>0</v>
      </c>
      <c r="AA61" s="88">
        <f>SUMIF(P7:P79,50,O7:O79)</f>
        <v>0</v>
      </c>
      <c r="AB61" s="50" t="str">
        <f>IF(W61&gt;='Request #34'!AA61,"OK","Alert,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7"/>
        <v>56</v>
      </c>
      <c r="H62" s="205">
        <f t="shared" si="7"/>
        <v>0</v>
      </c>
      <c r="I62" s="247">
        <f t="shared" si="7"/>
        <v>0</v>
      </c>
      <c r="K62" s="159"/>
      <c r="L62" s="157"/>
      <c r="M62" s="157"/>
      <c r="N62" s="154"/>
      <c r="O62" s="155"/>
      <c r="P62" s="158"/>
      <c r="R62" s="50" t="str">
        <f>IF(V62='Request #34'!V62,"OK","Send in Change Order")</f>
        <v>OK</v>
      </c>
      <c r="S62" s="85">
        <v>51</v>
      </c>
      <c r="T62" s="86" t="str">
        <f>'Request #34'!T62</f>
        <v>Other Fees</v>
      </c>
      <c r="U62" s="218">
        <f>'Request #34'!U62</f>
        <v>0</v>
      </c>
      <c r="V62" s="87">
        <f>'Request #34'!V62</f>
        <v>0</v>
      </c>
      <c r="W62" s="88">
        <f>SUMIF(F7:F79,51,E7:E79)</f>
        <v>0</v>
      </c>
      <c r="X62" s="88">
        <f>'Request #34'!Y62</f>
        <v>0</v>
      </c>
      <c r="Y62" s="88">
        <f t="shared" si="3"/>
        <v>0</v>
      </c>
      <c r="Z62" s="88">
        <f t="shared" si="4"/>
        <v>0</v>
      </c>
      <c r="AA62" s="88">
        <f>SUMIF(P7:P79,51,O7:O79)</f>
        <v>0</v>
      </c>
      <c r="AB62" s="50" t="str">
        <f>IF(W62&gt;='Request #34'!AA62,"OK","Alert,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#34'!V63,"OK","Send in Change Order")</f>
        <v>OK</v>
      </c>
      <c r="S63" s="85">
        <v>52</v>
      </c>
      <c r="T63" s="86" t="str">
        <f>'Request #34'!T63</f>
        <v>Worked Performed by Owner</v>
      </c>
      <c r="U63" s="218">
        <f>'Request #34'!U63</f>
        <v>0</v>
      </c>
      <c r="V63" s="87">
        <f>'Request #34'!V63</f>
        <v>0</v>
      </c>
      <c r="W63" s="88">
        <f>SUMIF(F7:F79,52,E7:E79)</f>
        <v>0</v>
      </c>
      <c r="X63" s="88">
        <f>'Request #34'!Y63</f>
        <v>0</v>
      </c>
      <c r="Y63" s="88">
        <f t="shared" si="3"/>
        <v>0</v>
      </c>
      <c r="Z63" s="88">
        <f t="shared" si="4"/>
        <v>0</v>
      </c>
      <c r="AA63" s="88">
        <f>SUMIF(P7:P79,52,O7:O79)</f>
        <v>0</v>
      </c>
      <c r="AB63" s="50" t="str">
        <f>IF(W63&gt;='Request #34'!AA63,"OK","Alert,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#34'!V64,"OK","Send in Change Order")</f>
        <v>OK</v>
      </c>
      <c r="S64" s="85">
        <v>53</v>
      </c>
      <c r="T64" s="86" t="str">
        <f>'Request #34'!T64</f>
        <v>Equipment (Major)</v>
      </c>
      <c r="U64" s="218">
        <f>'Request #34'!U64</f>
        <v>0</v>
      </c>
      <c r="V64" s="87">
        <f>'Request #34'!V64</f>
        <v>0</v>
      </c>
      <c r="W64" s="88">
        <f>SUMIF(F7:F79,53,E7:E79)</f>
        <v>0</v>
      </c>
      <c r="X64" s="88">
        <f>'Request #34'!Y64</f>
        <v>0</v>
      </c>
      <c r="Y64" s="88">
        <f t="shared" si="3"/>
        <v>0</v>
      </c>
      <c r="Z64" s="88">
        <f t="shared" si="4"/>
        <v>0</v>
      </c>
      <c r="AA64" s="88">
        <f>SUMIF(P7:P79,53,O7:O79)</f>
        <v>0</v>
      </c>
      <c r="AB64" s="50" t="str">
        <f>IF(W64&gt;='Request #34'!AA64,"OK","Alert,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#34'!V65,"OK","Send in Change Order")</f>
        <v>OK</v>
      </c>
      <c r="S65" s="85">
        <v>54</v>
      </c>
      <c r="T65" s="102" t="s">
        <v>90</v>
      </c>
      <c r="U65" s="218">
        <f>'Request #34'!U65</f>
        <v>0</v>
      </c>
      <c r="V65" s="87">
        <f>'Request #34'!V65</f>
        <v>0</v>
      </c>
      <c r="W65" s="104"/>
      <c r="X65" s="88">
        <f>'Request #34'!Y65</f>
        <v>0</v>
      </c>
      <c r="Y65" s="88">
        <f t="shared" si="3"/>
        <v>0</v>
      </c>
      <c r="Z65" s="88">
        <f t="shared" si="4"/>
        <v>0</v>
      </c>
      <c r="AA65" s="104"/>
      <c r="AB65" s="50" t="str">
        <f>IF(W65&gt;='Request #34'!AA65,"OK","Alert,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#34'!V66,"OK","Send in Change Order")</f>
        <v>OK</v>
      </c>
      <c r="S66" s="85">
        <v>55</v>
      </c>
      <c r="T66" s="86"/>
      <c r="U66" s="218">
        <f>'Request #34'!U66</f>
        <v>0</v>
      </c>
      <c r="V66" s="87">
        <f>'Request #34'!V66</f>
        <v>0</v>
      </c>
      <c r="W66" s="88">
        <f>SUMIF(F7:F79,55,E7:E79)</f>
        <v>0</v>
      </c>
      <c r="X66" s="88">
        <f>'Request #34'!Y66</f>
        <v>0</v>
      </c>
      <c r="Y66" s="88">
        <f t="shared" si="3"/>
        <v>0</v>
      </c>
      <c r="Z66" s="88">
        <f t="shared" si="4"/>
        <v>0</v>
      </c>
      <c r="AA66" s="88">
        <f>SUMIF(P7:P79,55,O7:O79)</f>
        <v>0</v>
      </c>
      <c r="AB66" s="50" t="str">
        <f>IF(W66&gt;='Request #34'!AA66,"OK","Alert,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#34'!V67,"OK","Send in Change Order")</f>
        <v>OK</v>
      </c>
      <c r="S67" s="85">
        <v>56</v>
      </c>
      <c r="T67" s="79"/>
      <c r="U67" s="218">
        <f>'Request #34'!U67</f>
        <v>0</v>
      </c>
      <c r="V67" s="87">
        <f>'Request #34'!V67</f>
        <v>0</v>
      </c>
      <c r="W67" s="88">
        <f>SUMIF(F7:F79,56,E7:E79)</f>
        <v>0</v>
      </c>
      <c r="X67" s="88">
        <f>'Request #34'!Y67</f>
        <v>0</v>
      </c>
      <c r="Y67" s="88">
        <f t="shared" si="3"/>
        <v>0</v>
      </c>
      <c r="Z67" s="88">
        <f t="shared" si="4"/>
        <v>0</v>
      </c>
      <c r="AA67" s="88">
        <f>SUMIF(P7:P79,56,O7:O79)</f>
        <v>0</v>
      </c>
      <c r="AB67" s="50" t="str">
        <f>IF(W67&gt;='Request #34'!AA67,"OK","Alert,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#34'!V68,"OK","Send in Change Order")</f>
        <v>OK</v>
      </c>
      <c r="S68" s="316" t="s">
        <v>60</v>
      </c>
      <c r="T68" s="317"/>
      <c r="U68" s="224" t="s">
        <v>91</v>
      </c>
      <c r="V68" s="263">
        <f t="shared" ref="V68:AA68" si="8">SUM(V12:V67)</f>
        <v>0</v>
      </c>
      <c r="W68" s="105">
        <f t="shared" si="8"/>
        <v>0</v>
      </c>
      <c r="X68" s="105">
        <f t="shared" si="8"/>
        <v>0</v>
      </c>
      <c r="Y68" s="105">
        <f t="shared" si="8"/>
        <v>0</v>
      </c>
      <c r="Z68" s="105">
        <f t="shared" si="8"/>
        <v>0</v>
      </c>
      <c r="AA68" s="105">
        <f t="shared" si="8"/>
        <v>0</v>
      </c>
      <c r="AB68" s="50" t="str">
        <f>IF(W68&gt;='Request #34'!AA68,"OK","Alert,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25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226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27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28" t="e">
        <f>V72/V68</f>
        <v>#DIV/0!</v>
      </c>
      <c r="V72" s="88">
        <f>V68-V74-V73</f>
        <v>0</v>
      </c>
      <c r="W72" s="87">
        <v>0</v>
      </c>
      <c r="X72" s="88">
        <f>'Request #34'!Y72</f>
        <v>0</v>
      </c>
      <c r="Y72" s="88">
        <f t="shared" ref="Y72:Y73" si="9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#34'!V73,"OK","Send in Change Order")</f>
        <v>OK</v>
      </c>
      <c r="S73" s="86" t="s">
        <v>95</v>
      </c>
      <c r="T73" s="114"/>
      <c r="U73" s="228" t="e">
        <f>V73/V68</f>
        <v>#DIV/0!</v>
      </c>
      <c r="V73" s="87">
        <f>'Request #34'!V73</f>
        <v>0</v>
      </c>
      <c r="W73" s="87">
        <v>0</v>
      </c>
      <c r="X73" s="88">
        <f>'Request #34'!Y73</f>
        <v>0</v>
      </c>
      <c r="Y73" s="88">
        <f t="shared" si="9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#34'!V74,"OK","Send in Change Order")</f>
        <v>OK</v>
      </c>
      <c r="S74" s="120" t="s">
        <v>96</v>
      </c>
      <c r="T74" s="121"/>
      <c r="U74" s="228" t="e">
        <f>V74/V68</f>
        <v>#DIV/0!</v>
      </c>
      <c r="V74" s="87">
        <f>'Request #34'!V74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221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30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30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31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221"/>
      <c r="V80" s="55"/>
      <c r="W80" s="55"/>
      <c r="X80" s="138"/>
      <c r="Y80" s="45" t="s">
        <v>108</v>
      </c>
      <c r="Z80" s="43"/>
      <c r="AA80" s="88">
        <f>'Request #34'!AA79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35</v>
      </c>
      <c r="V87" s="55"/>
      <c r="W87" s="55"/>
      <c r="X87" s="138"/>
      <c r="Y87" s="45" t="s">
        <v>108</v>
      </c>
      <c r="Z87" s="43"/>
      <c r="AA87" s="88">
        <f>'Request #34'!AA86</f>
        <v>0</v>
      </c>
      <c r="AB87" s="110"/>
    </row>
    <row r="88" spans="1:28" ht="30" customHeight="1" thickBot="1" x14ac:dyDescent="0.35">
      <c r="S88" s="55"/>
      <c r="T88" s="55"/>
      <c r="U88" s="221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221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221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221"/>
      <c r="V91" s="55"/>
      <c r="W91" s="55"/>
      <c r="X91" s="55"/>
    </row>
    <row r="92" spans="1:28" ht="30" customHeight="1" x14ac:dyDescent="0.3">
      <c r="S92" s="55"/>
      <c r="T92" s="55"/>
      <c r="U92" s="221"/>
      <c r="V92" s="55"/>
      <c r="W92" s="55"/>
      <c r="X92" s="55"/>
    </row>
    <row r="93" spans="1:28" ht="30" customHeight="1" x14ac:dyDescent="0.3">
      <c r="S93" s="55"/>
      <c r="T93" s="55"/>
      <c r="U93" s="221"/>
      <c r="V93" s="55"/>
      <c r="W93" s="55"/>
      <c r="X93" s="55"/>
    </row>
    <row r="94" spans="1:28" ht="30" customHeight="1" x14ac:dyDescent="0.3">
      <c r="S94" s="55"/>
      <c r="T94" s="55"/>
      <c r="U94" s="221"/>
      <c r="V94" s="55"/>
      <c r="W94" s="55"/>
      <c r="X94" s="55"/>
    </row>
    <row r="95" spans="1:28" ht="30" customHeight="1" x14ac:dyDescent="0.3">
      <c r="S95" s="55"/>
      <c r="T95" s="55"/>
      <c r="U95" s="221"/>
      <c r="V95" s="55"/>
      <c r="W95" s="55"/>
      <c r="X95" s="55"/>
    </row>
    <row r="96" spans="1:28" ht="30" customHeight="1" x14ac:dyDescent="0.3">
      <c r="S96" s="55"/>
      <c r="T96" s="55"/>
      <c r="U96" s="221"/>
      <c r="V96" s="55"/>
      <c r="W96" s="55"/>
      <c r="X96" s="55"/>
    </row>
    <row r="97" spans="15:24" ht="30" customHeight="1" x14ac:dyDescent="0.3">
      <c r="S97" s="55"/>
      <c r="T97" s="55"/>
      <c r="U97" s="221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5COrb/KzQqEZAXmQbEO3/7+bgxzGrBjNN3qXyQ0HUczrgkrWrd6DSh7oXzq8CN+XCGi55nqAMnxiXbmHE7WKrA==" saltValue="nE9RTyCxJDqebO78uFtSpg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T10:U10"/>
    <mergeCell ref="C5:C6"/>
    <mergeCell ref="F5:F6"/>
    <mergeCell ref="M5:M6"/>
    <mergeCell ref="P5:P6"/>
    <mergeCell ref="S7:AA7"/>
    <mergeCell ref="Y83:AA83"/>
    <mergeCell ref="Y86:Z86"/>
    <mergeCell ref="S68:T68"/>
    <mergeCell ref="S70:T70"/>
    <mergeCell ref="Y76:AA76"/>
    <mergeCell ref="W77:W79"/>
    <mergeCell ref="Y79:Z79"/>
  </mergeCells>
  <conditionalFormatting sqref="R1:R1048576">
    <cfRule type="containsText" dxfId="124" priority="9" operator="containsText" text="Change">
      <formula>NOT(ISERROR(SEARCH("Change",R1)))</formula>
    </cfRule>
  </conditionalFormatting>
  <conditionalFormatting sqref="R45:R48">
    <cfRule type="cellIs" dxfId="123" priority="7" operator="equal">
      <formula>"Send in Change Order"</formula>
    </cfRule>
  </conditionalFormatting>
  <conditionalFormatting sqref="W68">
    <cfRule type="cellIs" dxfId="122" priority="2" operator="notEqual">
      <formula>$E$82</formula>
    </cfRule>
    <cfRule type="cellIs" dxfId="121" priority="3" operator="greaterThan">
      <formula>$E$82</formula>
    </cfRule>
    <cfRule type="cellIs" dxfId="120" priority="4" operator="notEqual">
      <formula>$E$82</formula>
    </cfRule>
  </conditionalFormatting>
  <conditionalFormatting sqref="Z12:Z44 Z49:Z57">
    <cfRule type="cellIs" dxfId="119" priority="8" operator="lessThan">
      <formula>0</formula>
    </cfRule>
  </conditionalFormatting>
  <conditionalFormatting sqref="Z61:Z68">
    <cfRule type="cellIs" dxfId="118" priority="5" operator="lessThan">
      <formula>0</formula>
    </cfRule>
  </conditionalFormatting>
  <conditionalFormatting sqref="AA68">
    <cfRule type="cellIs" dxfId="117" priority="1" operator="notEqual">
      <formula>$O$82</formula>
    </cfRule>
  </conditionalFormatting>
  <conditionalFormatting sqref="AB1:AB1048576">
    <cfRule type="containsText" dxfId="116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1" manualBreakCount="11">
    <brk id="6" max="88" man="1"/>
    <brk id="10" max="1048575" man="1"/>
    <brk id="16" max="88" man="1"/>
    <brk id="18" max="1048575" man="1"/>
    <brk id="27" max="88" man="1"/>
    <brk id="29" max="1048575" man="1"/>
    <brk id="52" max="1048575" man="1"/>
    <brk id="99" max="1048575" man="1"/>
    <brk id="101" max="1048575" man="1"/>
    <brk id="110" max="1048575" man="1"/>
    <brk id="111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2187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21875" style="50" customWidth="1"/>
    <col min="19" max="19" width="6.109375" style="39" customWidth="1"/>
    <col min="20" max="20" width="30.6640625" style="39" customWidth="1"/>
    <col min="21" max="21" width="17.77734375" style="219" customWidth="1"/>
    <col min="22" max="27" width="18.88671875" style="39" customWidth="1"/>
    <col min="28" max="28" width="24.3320312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220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36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220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220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221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>General Contract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22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Architect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23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36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Architect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218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#35'!V12,"OK","Send in Change Order")</f>
        <v>OK</v>
      </c>
      <c r="S12" s="85">
        <v>1</v>
      </c>
      <c r="T12" s="86" t="str">
        <f>'Request #35'!T12</f>
        <v>Land/Site Grading &amp; Improv.</v>
      </c>
      <c r="U12" s="218">
        <f>'Request #35'!U12</f>
        <v>0</v>
      </c>
      <c r="V12" s="87">
        <f>'Request #35'!V12</f>
        <v>0</v>
      </c>
      <c r="W12" s="88">
        <f>SUMIF(F7:F79,1,E7:E79)</f>
        <v>0</v>
      </c>
      <c r="X12" s="88">
        <f>'Request #35'!Y12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#35'!AA12,"OK","Alert,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#35'!V13,"OK","Send in Change Order")</f>
        <v>OK</v>
      </c>
      <c r="S13" s="85">
        <v>2</v>
      </c>
      <c r="T13" s="86" t="s">
        <v>122</v>
      </c>
      <c r="U13" s="218">
        <f>'Request #35'!U13</f>
        <v>0</v>
      </c>
      <c r="V13" s="87">
        <f>'Request #35'!V13</f>
        <v>0</v>
      </c>
      <c r="W13" s="88">
        <f>SUMIF(F7:F79,2,E7:E79)</f>
        <v>0</v>
      </c>
      <c r="X13" s="88">
        <f>'Request #35'!Y13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#35'!AA13,"OK","Alert,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#35'!V14,"OK","Send in Change Order")</f>
        <v>OK</v>
      </c>
      <c r="S14" s="85">
        <v>3</v>
      </c>
      <c r="T14" s="86" t="s">
        <v>123</v>
      </c>
      <c r="U14" s="218">
        <f>'Request #35'!U14</f>
        <v>0</v>
      </c>
      <c r="V14" s="87">
        <f>'Request #35'!V14</f>
        <v>0</v>
      </c>
      <c r="W14" s="88">
        <f>SUMIF(F7:F79,3,E7:E79)</f>
        <v>0</v>
      </c>
      <c r="X14" s="88">
        <f>'Request #35'!Y14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#35'!AA14,"OK","Alert,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#35'!V15,"OK","Send in Change Order")</f>
        <v>OK</v>
      </c>
      <c r="S15" s="85">
        <v>4</v>
      </c>
      <c r="T15" s="86" t="s">
        <v>124</v>
      </c>
      <c r="U15" s="218">
        <f>'Request #35'!U15</f>
        <v>0</v>
      </c>
      <c r="V15" s="87">
        <f>'Request #35'!V15</f>
        <v>0</v>
      </c>
      <c r="W15" s="88">
        <f>SUMIF(F7:F79,4,E7:E79)</f>
        <v>0</v>
      </c>
      <c r="X15" s="88">
        <f>'Request #35'!Y15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#35'!AA15,"OK","Alert,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#35'!V16,"OK","Send in Change Order")</f>
        <v>OK</v>
      </c>
      <c r="S16" s="85">
        <v>5</v>
      </c>
      <c r="T16" s="86" t="s">
        <v>71</v>
      </c>
      <c r="U16" s="218">
        <f>'Request #35'!U16</f>
        <v>0</v>
      </c>
      <c r="V16" s="87">
        <f>'Request #35'!V16</f>
        <v>0</v>
      </c>
      <c r="W16" s="88">
        <f>SUMIF(F7:F79,5,E7:E79)</f>
        <v>0</v>
      </c>
      <c r="X16" s="88">
        <f>'Request #35'!Y16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#35'!AA16,"OK","Alert,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#35'!V17,"OK","Send in Change Order")</f>
        <v>OK</v>
      </c>
      <c r="S17" s="85">
        <v>6</v>
      </c>
      <c r="T17" s="86" t="s">
        <v>71</v>
      </c>
      <c r="U17" s="218">
        <f>'Request #35'!U17</f>
        <v>0</v>
      </c>
      <c r="V17" s="87">
        <f>'Request #35'!V17</f>
        <v>0</v>
      </c>
      <c r="W17" s="88">
        <f>SUMIF(F7:F79,6,E7:E79)</f>
        <v>0</v>
      </c>
      <c r="X17" s="88">
        <f>'Request #35'!Y17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#35'!AA17,"OK","Alert,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#35'!V18,"OK","Send in Change Order")</f>
        <v>OK</v>
      </c>
      <c r="S18" s="85">
        <v>7</v>
      </c>
      <c r="T18" s="86" t="s">
        <v>71</v>
      </c>
      <c r="U18" s="218">
        <f>'Request #35'!U18</f>
        <v>0</v>
      </c>
      <c r="V18" s="87">
        <f>'Request #35'!V18</f>
        <v>0</v>
      </c>
      <c r="W18" s="88">
        <f>SUMIF(F7:F79,7,E7:E79)</f>
        <v>0</v>
      </c>
      <c r="X18" s="88">
        <f>'Request #35'!Y18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#35'!AA18,"OK","Alert,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#35'!V19,"OK","Send in Change Order")</f>
        <v>OK</v>
      </c>
      <c r="S19" s="85">
        <v>8</v>
      </c>
      <c r="T19" s="86" t="s">
        <v>71</v>
      </c>
      <c r="U19" s="218">
        <f>'Request #35'!U19</f>
        <v>0</v>
      </c>
      <c r="V19" s="87">
        <f>'Request #35'!V19</f>
        <v>0</v>
      </c>
      <c r="W19" s="88">
        <f>SUMIF(F7:F79,8,E7:E79)</f>
        <v>0</v>
      </c>
      <c r="X19" s="88">
        <f>'Request #35'!Y19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#35'!AA19,"OK","Alert,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#35'!V20,"OK","Send in Change Order")</f>
        <v>OK</v>
      </c>
      <c r="S20" s="85">
        <v>9</v>
      </c>
      <c r="T20" s="86" t="s">
        <v>71</v>
      </c>
      <c r="U20" s="218">
        <f>'Request #35'!U20</f>
        <v>0</v>
      </c>
      <c r="V20" s="87">
        <f>'Request #35'!V20</f>
        <v>0</v>
      </c>
      <c r="W20" s="88">
        <f>SUMIF(F7:F79,9,E7:E79)</f>
        <v>0</v>
      </c>
      <c r="X20" s="88">
        <f>'Request #35'!Y20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#35'!AA20,"OK","Alert,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#35'!V21,"OK","Send in Change Order")</f>
        <v>OK</v>
      </c>
      <c r="S21" s="85">
        <v>10</v>
      </c>
      <c r="T21" s="86" t="s">
        <v>71</v>
      </c>
      <c r="U21" s="218">
        <f>'Request #35'!U21</f>
        <v>0</v>
      </c>
      <c r="V21" s="87">
        <f>'Request #35'!V21</f>
        <v>0</v>
      </c>
      <c r="W21" s="88">
        <f>SUMIF(F7:F79,10,E7:E79)</f>
        <v>0</v>
      </c>
      <c r="X21" s="88">
        <f>'Request #35'!Y21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#35'!AA21,"OK","Alert,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#35'!V22,"OK","Send in Change Order")</f>
        <v>OK</v>
      </c>
      <c r="S22" s="85">
        <v>11</v>
      </c>
      <c r="T22" s="86" t="s">
        <v>71</v>
      </c>
      <c r="U22" s="218">
        <f>'Request #35'!U22</f>
        <v>0</v>
      </c>
      <c r="V22" s="87">
        <f>'Request #35'!V22</f>
        <v>0</v>
      </c>
      <c r="W22" s="88">
        <f>SUMIF(F7:F79,11,E7:E79)</f>
        <v>0</v>
      </c>
      <c r="X22" s="88">
        <f>'Request #35'!Y22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#35'!AA22,"OK","Alert,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#35'!V23,"OK","Send in Change Order")</f>
        <v>OK</v>
      </c>
      <c r="S23" s="85">
        <v>12</v>
      </c>
      <c r="T23" s="86" t="s">
        <v>71</v>
      </c>
      <c r="U23" s="218">
        <f>'Request #35'!U23</f>
        <v>0</v>
      </c>
      <c r="V23" s="87">
        <f>'Request #35'!V23</f>
        <v>0</v>
      </c>
      <c r="W23" s="88">
        <f>SUMIF(F7:F79,12,E7:E79)</f>
        <v>0</v>
      </c>
      <c r="X23" s="88">
        <f>'Request #35'!Y23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#35'!AA23,"OK","Alert,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#35'!V24,"OK","Send in Change Order")</f>
        <v>OK</v>
      </c>
      <c r="S24" s="85">
        <v>13</v>
      </c>
      <c r="T24" s="86" t="s">
        <v>71</v>
      </c>
      <c r="U24" s="218">
        <f>'Request #35'!U24</f>
        <v>0</v>
      </c>
      <c r="V24" s="87">
        <f>'Request #35'!V24</f>
        <v>0</v>
      </c>
      <c r="W24" s="88">
        <f>SUMIF(F7:F79,13,E7:E79)</f>
        <v>0</v>
      </c>
      <c r="X24" s="88">
        <f>'Request #35'!Y24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#35'!AA24,"OK","Alert,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#35'!V25,"OK","Send in Change Order")</f>
        <v>OK</v>
      </c>
      <c r="S25" s="85">
        <v>14</v>
      </c>
      <c r="T25" s="86" t="s">
        <v>71</v>
      </c>
      <c r="U25" s="218">
        <f>'Request #35'!U25</f>
        <v>0</v>
      </c>
      <c r="V25" s="87">
        <f>'Request #35'!V25</f>
        <v>0</v>
      </c>
      <c r="W25" s="88">
        <f>SUMIF(F7:F79,14,E7:E79)</f>
        <v>0</v>
      </c>
      <c r="X25" s="88">
        <f>'Request #35'!Y25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#35'!AA25,"OK","Alert,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#35'!V26,"OK","Send in Change Order")</f>
        <v>OK</v>
      </c>
      <c r="S26" s="85">
        <v>15</v>
      </c>
      <c r="T26" s="86" t="s">
        <v>71</v>
      </c>
      <c r="U26" s="218">
        <f>'Request #35'!U26</f>
        <v>0</v>
      </c>
      <c r="V26" s="87">
        <f>'Request #35'!V26</f>
        <v>0</v>
      </c>
      <c r="W26" s="88">
        <f>SUMIF(F7:F79,15,E7:E79)</f>
        <v>0</v>
      </c>
      <c r="X26" s="88">
        <f>'Request #35'!Y26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#35'!AA26,"OK","Alert,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#35'!V27,"OK","Send in Change Order")</f>
        <v>OK</v>
      </c>
      <c r="S27" s="85">
        <v>16</v>
      </c>
      <c r="T27" s="86" t="s">
        <v>71</v>
      </c>
      <c r="U27" s="218">
        <f>'Request #35'!U27</f>
        <v>0</v>
      </c>
      <c r="V27" s="87">
        <f>'Request #35'!V27</f>
        <v>0</v>
      </c>
      <c r="W27" s="88">
        <f>SUMIF(F7:F79,16,E7:E79)</f>
        <v>0</v>
      </c>
      <c r="X27" s="88">
        <f>'Request #35'!Y27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#35'!AA27,"OK","Alert,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#35'!V28,"OK","Send in Change Order")</f>
        <v>OK</v>
      </c>
      <c r="S28" s="85">
        <v>17</v>
      </c>
      <c r="T28" s="86" t="s">
        <v>71</v>
      </c>
      <c r="U28" s="218">
        <f>'Request #35'!U28</f>
        <v>0</v>
      </c>
      <c r="V28" s="87">
        <f>'Request #35'!V28</f>
        <v>0</v>
      </c>
      <c r="W28" s="88">
        <f>SUMIF(F7:F79,17,E7:E79)</f>
        <v>0</v>
      </c>
      <c r="X28" s="88">
        <f>'Request #35'!Y28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#35'!AA28,"OK","Alert,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#35'!V29,"OK","Send in Change Order")</f>
        <v>OK</v>
      </c>
      <c r="S29" s="85">
        <v>18</v>
      </c>
      <c r="T29" s="86" t="s">
        <v>71</v>
      </c>
      <c r="U29" s="218">
        <f>'Request #35'!U29</f>
        <v>0</v>
      </c>
      <c r="V29" s="87">
        <f>'Request #35'!V29</f>
        <v>0</v>
      </c>
      <c r="W29" s="88">
        <f>SUMIF(F7:F79,18,E7:E79)</f>
        <v>0</v>
      </c>
      <c r="X29" s="88">
        <f>'Request #35'!Y29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#35'!AA29,"OK","Alert,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#35'!V30,"OK","Send in Change Order")</f>
        <v>OK</v>
      </c>
      <c r="S30" s="85">
        <v>19</v>
      </c>
      <c r="T30" s="86" t="s">
        <v>71</v>
      </c>
      <c r="U30" s="218">
        <f>'Request #35'!U30</f>
        <v>0</v>
      </c>
      <c r="V30" s="87">
        <f>'Request #35'!V30</f>
        <v>0</v>
      </c>
      <c r="W30" s="88">
        <f>SUMIF(F7:F79,19,E7:E79)</f>
        <v>0</v>
      </c>
      <c r="X30" s="88">
        <f>'Request #35'!Y30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#35'!AA30,"OK","Alert,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#35'!V31,"OK","Send in Change Order")</f>
        <v>OK</v>
      </c>
      <c r="S31" s="85">
        <v>20</v>
      </c>
      <c r="T31" s="86" t="s">
        <v>71</v>
      </c>
      <c r="U31" s="218">
        <f>'Request #35'!U31</f>
        <v>0</v>
      </c>
      <c r="V31" s="87">
        <f>'Request #35'!V31</f>
        <v>0</v>
      </c>
      <c r="W31" s="88">
        <f>SUMIF(F7:F79,20,E7:E79)</f>
        <v>0</v>
      </c>
      <c r="X31" s="88">
        <f>'Request #35'!Y31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#35'!AA31,"OK","Alert,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#35'!V32,"OK","Send in Change Order")</f>
        <v>OK</v>
      </c>
      <c r="S32" s="85">
        <v>21</v>
      </c>
      <c r="T32" s="86" t="s">
        <v>71</v>
      </c>
      <c r="U32" s="218">
        <f>'Request #35'!U32</f>
        <v>0</v>
      </c>
      <c r="V32" s="87">
        <f>'Request #35'!V32</f>
        <v>0</v>
      </c>
      <c r="W32" s="88">
        <f>SUMIF(F7:F79,21,E7:E79)</f>
        <v>0</v>
      </c>
      <c r="X32" s="88">
        <f>'Request #35'!Y32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#35'!AA32,"OK","Alert,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#35'!V33,"OK","Send in Change Order")</f>
        <v>OK</v>
      </c>
      <c r="S33" s="85">
        <v>22</v>
      </c>
      <c r="T33" s="86" t="s">
        <v>71</v>
      </c>
      <c r="U33" s="218">
        <f>'Request #35'!U33</f>
        <v>0</v>
      </c>
      <c r="V33" s="87">
        <f>'Request #35'!V33</f>
        <v>0</v>
      </c>
      <c r="W33" s="88">
        <f>SUMIF(F7:F79,22,E7:E79)</f>
        <v>0</v>
      </c>
      <c r="X33" s="88">
        <f>'Request #35'!Y33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#35'!AA33,"OK","Alert,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#35'!V34,"OK","Send in Change Order")</f>
        <v>OK</v>
      </c>
      <c r="S34" s="85">
        <v>23</v>
      </c>
      <c r="T34" s="86" t="s">
        <v>71</v>
      </c>
      <c r="U34" s="218">
        <f>'Request #35'!U34</f>
        <v>0</v>
      </c>
      <c r="V34" s="87">
        <f>'Request #35'!V34</f>
        <v>0</v>
      </c>
      <c r="W34" s="88">
        <f>SUMIF(F7:F79,23,E7:E79)</f>
        <v>0</v>
      </c>
      <c r="X34" s="88">
        <f>'Request #35'!Y34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#35'!AA34,"OK","Alert,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#35'!V35,"OK","Send in Change Order")</f>
        <v>OK</v>
      </c>
      <c r="S35" s="85">
        <v>24</v>
      </c>
      <c r="T35" s="86" t="s">
        <v>71</v>
      </c>
      <c r="U35" s="218">
        <f>'Request #35'!U35</f>
        <v>0</v>
      </c>
      <c r="V35" s="87">
        <f>'Request #35'!V35</f>
        <v>0</v>
      </c>
      <c r="W35" s="88">
        <f>SUMIF(F7:F79,24,E7:E79)</f>
        <v>0</v>
      </c>
      <c r="X35" s="88">
        <f>'Request #35'!Y35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#35'!AA35,"OK","Alert,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#35'!V36,"OK","Send in Change Order")</f>
        <v>OK</v>
      </c>
      <c r="S36" s="85">
        <v>25</v>
      </c>
      <c r="T36" s="86" t="s">
        <v>71</v>
      </c>
      <c r="U36" s="218">
        <f>'Request #35'!U36</f>
        <v>0</v>
      </c>
      <c r="V36" s="87">
        <f>'Request #35'!V36</f>
        <v>0</v>
      </c>
      <c r="W36" s="88">
        <f>SUMIF(F7:F79,25,E7:E79)</f>
        <v>0</v>
      </c>
      <c r="X36" s="88">
        <f>'Request #35'!Y36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#35'!AA36,"OK","Alert,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#35'!V37,"OK","Send in Change Order")</f>
        <v>OK</v>
      </c>
      <c r="S37" s="85">
        <v>26</v>
      </c>
      <c r="T37" s="86" t="s">
        <v>82</v>
      </c>
      <c r="U37" s="218">
        <f>'Request #35'!U37</f>
        <v>0</v>
      </c>
      <c r="V37" s="87">
        <f>'Request #35'!V37</f>
        <v>0</v>
      </c>
      <c r="W37" s="88">
        <f>SUMIF(F7:F79,26,E7:E79)</f>
        <v>0</v>
      </c>
      <c r="X37" s="88">
        <f>'Request #35'!Y37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#35'!AA37,"OK","Alert,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#35'!V38,"OK","Send in Change Order")</f>
        <v>OK</v>
      </c>
      <c r="S38" s="85">
        <v>27</v>
      </c>
      <c r="T38" s="86" t="s">
        <v>82</v>
      </c>
      <c r="U38" s="218">
        <f>'Request #35'!U38</f>
        <v>0</v>
      </c>
      <c r="V38" s="87">
        <f>'Request #35'!V38</f>
        <v>0</v>
      </c>
      <c r="W38" s="88">
        <f>SUMIF(F7:F79,27,E7:E79)</f>
        <v>0</v>
      </c>
      <c r="X38" s="88">
        <f>'Request #35'!Y38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#35'!AA38,"OK","Alert,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#35'!V39,"OK","Send in Change Order")</f>
        <v>OK</v>
      </c>
      <c r="S39" s="85">
        <v>28</v>
      </c>
      <c r="T39" s="86" t="s">
        <v>82</v>
      </c>
      <c r="U39" s="218">
        <f>'Request #35'!U39</f>
        <v>0</v>
      </c>
      <c r="V39" s="87">
        <f>'Request #35'!V39</f>
        <v>0</v>
      </c>
      <c r="W39" s="88">
        <f>SUMIF(F7:F79,28,E7:E79)</f>
        <v>0</v>
      </c>
      <c r="X39" s="88">
        <f>'Request #35'!Y39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#35'!AA39,"OK","Alert,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#35'!V40,"OK","Send in Change Order")</f>
        <v>OK</v>
      </c>
      <c r="S40" s="85">
        <v>29</v>
      </c>
      <c r="T40" s="86" t="s">
        <v>82</v>
      </c>
      <c r="U40" s="218">
        <f>'Request #35'!U40</f>
        <v>0</v>
      </c>
      <c r="V40" s="87">
        <f>'Request #35'!V40</f>
        <v>0</v>
      </c>
      <c r="W40" s="88">
        <f>SUMIF(F7:F79,29,E7:E79)</f>
        <v>0</v>
      </c>
      <c r="X40" s="88">
        <f>'Request #35'!Y40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#35'!AA40,"OK","Alert,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#35'!V41,"OK","Send in Change Order")</f>
        <v>OK</v>
      </c>
      <c r="S41" s="85">
        <v>30</v>
      </c>
      <c r="T41" s="86" t="s">
        <v>82</v>
      </c>
      <c r="U41" s="218">
        <f>'Request #35'!U41</f>
        <v>0</v>
      </c>
      <c r="V41" s="87">
        <f>'Request #35'!V41</f>
        <v>0</v>
      </c>
      <c r="W41" s="88">
        <f>SUMIF(F7:F79,30,E7:E79)</f>
        <v>0</v>
      </c>
      <c r="X41" s="88">
        <f>'Request #35'!Y41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#35'!AA41,"OK","Alert,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#35'!V42,"OK","Send in Change Order")</f>
        <v>OK</v>
      </c>
      <c r="S42" s="85">
        <v>31</v>
      </c>
      <c r="T42" s="86" t="s">
        <v>82</v>
      </c>
      <c r="U42" s="218">
        <f>'Request #35'!U42</f>
        <v>0</v>
      </c>
      <c r="V42" s="87">
        <f>'Request #35'!V42</f>
        <v>0</v>
      </c>
      <c r="W42" s="88">
        <f>SUMIF(F7:F79,31,E7:E79)</f>
        <v>0</v>
      </c>
      <c r="X42" s="88">
        <f>'Request #35'!Y42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#35'!AA42,"OK","Alert,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#35'!V43,"OK","Send in Change Order")</f>
        <v>OK</v>
      </c>
      <c r="S43" s="85">
        <v>32</v>
      </c>
      <c r="T43" s="86" t="s">
        <v>82</v>
      </c>
      <c r="U43" s="218">
        <f>'Request #35'!U43</f>
        <v>0</v>
      </c>
      <c r="V43" s="87">
        <f>'Request #35'!V43</f>
        <v>0</v>
      </c>
      <c r="W43" s="88">
        <f>SUMIF(F7:F79,32,E7:E79)</f>
        <v>0</v>
      </c>
      <c r="X43" s="88">
        <f>'Request #35'!Y43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#35'!AA43,"OK","Alert,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#35'!V44,"OK","Send in Change Order")</f>
        <v>OK</v>
      </c>
      <c r="S44" s="85">
        <v>33</v>
      </c>
      <c r="T44" s="86" t="s">
        <v>82</v>
      </c>
      <c r="U44" s="218">
        <f>'Request #35'!U44</f>
        <v>0</v>
      </c>
      <c r="V44" s="87">
        <f>'Request #35'!V44</f>
        <v>0</v>
      </c>
      <c r="W44" s="88">
        <f>SUMIF(F7:F79,33,E7:E79)</f>
        <v>0</v>
      </c>
      <c r="X44" s="88">
        <f>'Request #35'!Y44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#35'!AA44,"OK","Alert,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#35'!V49,"OK","Send in Change Order")</f>
        <v>OK</v>
      </c>
      <c r="S49" s="85">
        <v>38</v>
      </c>
      <c r="T49" s="86" t="s">
        <v>82</v>
      </c>
      <c r="U49" s="218">
        <f>'Request #35'!U49</f>
        <v>0</v>
      </c>
      <c r="V49" s="87">
        <f>'Request #35'!V49</f>
        <v>0</v>
      </c>
      <c r="W49" s="88">
        <f>SUMIF(F7:F79,38,E7:E79)</f>
        <v>0</v>
      </c>
      <c r="X49" s="88">
        <f>'Request #35'!Y49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#35'!AA49,"OK","Alert,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#35'!V50,"OK","Send in Change Order")</f>
        <v>OK</v>
      </c>
      <c r="S50" s="85">
        <v>39</v>
      </c>
      <c r="T50" s="86" t="s">
        <v>82</v>
      </c>
      <c r="U50" s="218">
        <f>'Request #35'!U50</f>
        <v>0</v>
      </c>
      <c r="V50" s="87">
        <f>'Request #35'!V50</f>
        <v>0</v>
      </c>
      <c r="W50" s="88">
        <f>SUMIF(F7:F79,39,E7:E79)</f>
        <v>0</v>
      </c>
      <c r="X50" s="88">
        <f>'Request #35'!Y50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#35'!AA50,"OK","Alert,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#35'!V51,"OK","Send in Change Order")</f>
        <v>OK</v>
      </c>
      <c r="S51" s="85">
        <v>40</v>
      </c>
      <c r="T51" s="86" t="s">
        <v>82</v>
      </c>
      <c r="U51" s="218">
        <f>'Request #35'!U51</f>
        <v>0</v>
      </c>
      <c r="V51" s="87">
        <f>'Request #35'!V51</f>
        <v>0</v>
      </c>
      <c r="W51" s="88">
        <f>SUMIF(F7:F79,40,E7:E79)</f>
        <v>0</v>
      </c>
      <c r="X51" s="88">
        <f>'Request #35'!Y51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#35'!AA51,"OK","Alert,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#35'!V52,"OK","Send in Change Order")</f>
        <v>OK</v>
      </c>
      <c r="S52" s="85">
        <v>41</v>
      </c>
      <c r="T52" s="86" t="s">
        <v>82</v>
      </c>
      <c r="U52" s="218">
        <f>'Request #35'!U52</f>
        <v>0</v>
      </c>
      <c r="V52" s="87">
        <f>'Request #35'!V52</f>
        <v>0</v>
      </c>
      <c r="W52" s="88">
        <f>SUMIF(F7:F79,41,E7:E79)</f>
        <v>0</v>
      </c>
      <c r="X52" s="88">
        <f>'Request #35'!Y52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#35'!AA52,"OK","Alert,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#35'!V53,"OK","Send in Change Order")</f>
        <v>OK</v>
      </c>
      <c r="S53" s="85">
        <v>42</v>
      </c>
      <c r="T53" s="86" t="s">
        <v>82</v>
      </c>
      <c r="U53" s="218">
        <f>'Request #35'!U53</f>
        <v>0</v>
      </c>
      <c r="V53" s="87">
        <f>'Request #35'!V53</f>
        <v>0</v>
      </c>
      <c r="W53" s="88">
        <f>SUMIF(F7:F79,42,E7:E79)</f>
        <v>0</v>
      </c>
      <c r="X53" s="88">
        <f>'Request #35'!Y53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#35'!AA53,"OK","Alert,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#35'!V54,"OK","Send in Change Order")</f>
        <v>OK</v>
      </c>
      <c r="S54" s="85">
        <v>43</v>
      </c>
      <c r="T54" s="86" t="s">
        <v>82</v>
      </c>
      <c r="U54" s="218">
        <f>'Request #35'!U54</f>
        <v>0</v>
      </c>
      <c r="V54" s="87">
        <f>'Request #35'!V54</f>
        <v>0</v>
      </c>
      <c r="W54" s="88">
        <f>SUMIF(F7:F79,43,E7:E79)</f>
        <v>0</v>
      </c>
      <c r="X54" s="88">
        <f>'Request #35'!Y54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#35'!AA54,"OK","Alert,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#35'!V55,"OK","Send in Change Order")</f>
        <v>OK</v>
      </c>
      <c r="S55" s="85">
        <v>44</v>
      </c>
      <c r="T55" s="86" t="s">
        <v>82</v>
      </c>
      <c r="U55" s="218">
        <f>'Request #35'!U55</f>
        <v>0</v>
      </c>
      <c r="V55" s="87">
        <f>'Request #35'!V55</f>
        <v>0</v>
      </c>
      <c r="W55" s="88">
        <f>SUMIF(F7:F79,44,E7:E79)</f>
        <v>0</v>
      </c>
      <c r="X55" s="88">
        <f>'Request #35'!Y55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#35'!AA55,"OK","Alert,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#35'!V56,"OK","Send in Change Order")</f>
        <v>OK</v>
      </c>
      <c r="S56" s="85">
        <v>45</v>
      </c>
      <c r="T56" s="86" t="s">
        <v>82</v>
      </c>
      <c r="U56" s="218">
        <f>'Request #35'!U56</f>
        <v>0</v>
      </c>
      <c r="V56" s="87">
        <f>'Request #35'!V56</f>
        <v>0</v>
      </c>
      <c r="W56" s="88">
        <f>SUMIF(F7:F79,45,E7:E79)</f>
        <v>0</v>
      </c>
      <c r="X56" s="88">
        <f>'Request #35'!Y56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#35'!AA56,"OK","Alert,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#35'!V57,"OK","Send in Change Order")</f>
        <v>OK</v>
      </c>
      <c r="S57" s="85">
        <v>46</v>
      </c>
      <c r="T57" s="86" t="s">
        <v>82</v>
      </c>
      <c r="U57" s="218">
        <f>'Request #35'!U57</f>
        <v>0</v>
      </c>
      <c r="V57" s="87">
        <f>'Request #35'!V57</f>
        <v>0</v>
      </c>
      <c r="W57" s="88">
        <f>SUMIF(F7:F79,46,E7:E79)</f>
        <v>0</v>
      </c>
      <c r="X57" s="88">
        <f>'Request #35'!Y57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#35'!AA57,"OK","Alert,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#35'!V58,"OK","Send in Change Order")</f>
        <v>OK</v>
      </c>
      <c r="S58" s="85">
        <v>47</v>
      </c>
      <c r="T58" s="86" t="s">
        <v>82</v>
      </c>
      <c r="U58" s="218">
        <f>'Request #35'!U58</f>
        <v>0</v>
      </c>
      <c r="V58" s="87">
        <f>'Request #35'!V58</f>
        <v>0</v>
      </c>
      <c r="W58" s="88">
        <f>SUMIF(F7:F79,47,E7:E79)</f>
        <v>0</v>
      </c>
      <c r="X58" s="88">
        <f>'Request #35'!Y58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#35'!AA58,"OK","Alert,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#35'!V59,"OK","Send in Change Order")</f>
        <v>OK</v>
      </c>
      <c r="S59" s="85">
        <v>48</v>
      </c>
      <c r="T59" s="86" t="s">
        <v>82</v>
      </c>
      <c r="U59" s="218">
        <f>'Request #35'!U59</f>
        <v>0</v>
      </c>
      <c r="V59" s="87">
        <f>'Request #35'!V59</f>
        <v>0</v>
      </c>
      <c r="W59" s="88">
        <f>SUMIF(F7:F79,48,E7:E79)</f>
        <v>0</v>
      </c>
      <c r="X59" s="88">
        <f>'Request #35'!Y59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#35'!AA59,"OK","Alert,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#35'!V60,"OK","Send in Change Order")</f>
        <v>OK</v>
      </c>
      <c r="S60" s="85">
        <v>49</v>
      </c>
      <c r="T60" s="86" t="s">
        <v>82</v>
      </c>
      <c r="U60" s="218">
        <f>'Request #35'!U60</f>
        <v>0</v>
      </c>
      <c r="V60" s="87">
        <f>'Request #35'!V60</f>
        <v>0</v>
      </c>
      <c r="W60" s="88">
        <f>SUMIF(F7:F79,49,E7:E79)</f>
        <v>0</v>
      </c>
      <c r="X60" s="88">
        <f>'Request #35'!Y60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#35'!AA60,"OK","Alert,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#35'!V61,"OK","Send in Change Order")</f>
        <v>OK</v>
      </c>
      <c r="S61" s="85">
        <v>50</v>
      </c>
      <c r="T61" s="86" t="s">
        <v>82</v>
      </c>
      <c r="U61" s="218">
        <f>'Request #35'!U61</f>
        <v>0</v>
      </c>
      <c r="V61" s="87">
        <f>'Request #35'!V61</f>
        <v>0</v>
      </c>
      <c r="W61" s="88">
        <f>SUMIF(F7:F79,50,E7:E79)</f>
        <v>0</v>
      </c>
      <c r="X61" s="88">
        <f>'Request #35'!Y61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#35'!AA61,"OK","Alert,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#35'!V62,"OK","Send in Change Order")</f>
        <v>OK</v>
      </c>
      <c r="S62" s="85">
        <v>51</v>
      </c>
      <c r="T62" s="86" t="s">
        <v>82</v>
      </c>
      <c r="U62" s="218">
        <f>'Request #35'!U62</f>
        <v>0</v>
      </c>
      <c r="V62" s="87">
        <f>'Request #35'!V62</f>
        <v>0</v>
      </c>
      <c r="W62" s="88">
        <f>SUMIF(F7:F79,51,E7:E79)</f>
        <v>0</v>
      </c>
      <c r="X62" s="88">
        <f>'Request #35'!Y62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#35'!AA62,"OK","Alert,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#35'!V63,"OK","Send in Change Order")</f>
        <v>OK</v>
      </c>
      <c r="S63" s="85">
        <v>52</v>
      </c>
      <c r="T63" s="86" t="s">
        <v>88</v>
      </c>
      <c r="U63" s="218">
        <f>'Request #35'!U63</f>
        <v>0</v>
      </c>
      <c r="V63" s="87">
        <f>'Request #35'!V63</f>
        <v>0</v>
      </c>
      <c r="W63" s="88">
        <f>SUMIF(F7:F79,52,E7:E79)</f>
        <v>0</v>
      </c>
      <c r="X63" s="88">
        <f>'Request #35'!Y63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#35'!AA63,"OK","Alert,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#35'!V64,"OK","Send in Change Order")</f>
        <v>OK</v>
      </c>
      <c r="S64" s="85">
        <v>53</v>
      </c>
      <c r="T64" s="86" t="s">
        <v>89</v>
      </c>
      <c r="U64" s="218">
        <f>'Request #35'!U64</f>
        <v>0</v>
      </c>
      <c r="V64" s="87">
        <f>'Request #35'!V64</f>
        <v>0</v>
      </c>
      <c r="W64" s="88">
        <f>SUMIF(F7:F79,53,E7:E79)</f>
        <v>0</v>
      </c>
      <c r="X64" s="88">
        <f>'Request #35'!Y64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#35'!AA64,"OK","Alert,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#35'!V65,"OK","Send in Change Order")</f>
        <v>OK</v>
      </c>
      <c r="S65" s="85">
        <v>54</v>
      </c>
      <c r="T65" s="102" t="s">
        <v>90</v>
      </c>
      <c r="U65" s="218">
        <f>'Request #35'!U65</f>
        <v>0</v>
      </c>
      <c r="V65" s="87">
        <f>'Request #35'!V65</f>
        <v>0</v>
      </c>
      <c r="W65" s="104"/>
      <c r="X65" s="88">
        <f>'Request #35'!Y65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#35'!AA65,"OK","Alert,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#35'!V66,"OK","Send in Change Order")</f>
        <v>OK</v>
      </c>
      <c r="S66" s="85">
        <v>55</v>
      </c>
      <c r="T66" s="86"/>
      <c r="U66" s="218">
        <f>'Request #35'!U66</f>
        <v>0</v>
      </c>
      <c r="V66" s="87">
        <f>'Request #35'!V66</f>
        <v>0</v>
      </c>
      <c r="W66" s="88">
        <f>SUMIF(F7:F79,55,E7:E79)</f>
        <v>0</v>
      </c>
      <c r="X66" s="88">
        <f>'Request #35'!Y66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#35'!AA66,"OK","Alert,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#35'!V67,"OK","Send in Change Order")</f>
        <v>OK</v>
      </c>
      <c r="S67" s="85">
        <v>56</v>
      </c>
      <c r="T67" s="79"/>
      <c r="U67" s="218">
        <f>'Request #35'!U67</f>
        <v>0</v>
      </c>
      <c r="V67" s="87">
        <f>'Request #35'!V67</f>
        <v>0</v>
      </c>
      <c r="W67" s="88">
        <f>SUMIF(F7:F79,56,E7:E79)</f>
        <v>0</v>
      </c>
      <c r="X67" s="88">
        <f>'Request #35'!Y67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#35'!AA67,"OK","Alert,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#35'!V68,"OK","Send in Change Order")</f>
        <v>OK</v>
      </c>
      <c r="S68" s="316" t="s">
        <v>60</v>
      </c>
      <c r="T68" s="317"/>
      <c r="U68" s="224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#35'!AA68,"OK","Alert,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25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226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27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28" t="e">
        <f>V72/V68</f>
        <v>#DIV/0!</v>
      </c>
      <c r="V72" s="88">
        <f>V68-V74-V73</f>
        <v>0</v>
      </c>
      <c r="W72" s="87">
        <v>0</v>
      </c>
      <c r="X72" s="88">
        <f>'Request #35'!Y72</f>
        <v>0</v>
      </c>
      <c r="Y72" s="88">
        <f t="shared" ref="Y72:Y73" si="8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S73" s="86" t="s">
        <v>95</v>
      </c>
      <c r="T73" s="114"/>
      <c r="U73" s="228" t="e">
        <f>V73/V68</f>
        <v>#DIV/0!</v>
      </c>
      <c r="V73" s="87">
        <f>'Request #35'!V73</f>
        <v>0</v>
      </c>
      <c r="W73" s="87">
        <v>0</v>
      </c>
      <c r="X73" s="88">
        <f>'Request #35'!Y73</f>
        <v>0</v>
      </c>
      <c r="Y73" s="88">
        <f t="shared" si="8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S74" s="120" t="s">
        <v>96</v>
      </c>
      <c r="T74" s="121"/>
      <c r="U74" s="228" t="e">
        <f>V74/V68</f>
        <v>#DIV/0!</v>
      </c>
      <c r="V74" s="87">
        <f>'Request #35'!V74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221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30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30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31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221"/>
      <c r="V80" s="55"/>
      <c r="W80" s="55"/>
      <c r="X80" s="138"/>
      <c r="Y80" s="45" t="s">
        <v>108</v>
      </c>
      <c r="Z80" s="43"/>
      <c r="AA80" s="88">
        <f>'Request #35'!AA79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36</v>
      </c>
      <c r="V87" s="55"/>
      <c r="W87" s="55"/>
      <c r="X87" s="138"/>
      <c r="Y87" s="45" t="s">
        <v>108</v>
      </c>
      <c r="Z87" s="43"/>
      <c r="AA87" s="88">
        <f>'Request #35'!AA86</f>
        <v>0</v>
      </c>
      <c r="AB87" s="110"/>
    </row>
    <row r="88" spans="1:28" ht="30" customHeight="1" thickBot="1" x14ac:dyDescent="0.35">
      <c r="S88" s="55"/>
      <c r="T88" s="55"/>
      <c r="U88" s="221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221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221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221"/>
      <c r="V91" s="55"/>
      <c r="W91" s="55"/>
      <c r="X91" s="55"/>
    </row>
    <row r="92" spans="1:28" ht="30" customHeight="1" x14ac:dyDescent="0.3">
      <c r="S92" s="55"/>
      <c r="T92" s="55"/>
      <c r="U92" s="221"/>
      <c r="V92" s="55"/>
      <c r="W92" s="55"/>
      <c r="X92" s="55"/>
    </row>
    <row r="93" spans="1:28" ht="30" customHeight="1" x14ac:dyDescent="0.3">
      <c r="S93" s="55"/>
      <c r="T93" s="55"/>
      <c r="U93" s="221"/>
      <c r="V93" s="55"/>
      <c r="W93" s="55"/>
      <c r="X93" s="55"/>
    </row>
    <row r="94" spans="1:28" ht="30" customHeight="1" x14ac:dyDescent="0.3">
      <c r="S94" s="55"/>
      <c r="T94" s="55"/>
      <c r="U94" s="221"/>
      <c r="V94" s="55"/>
      <c r="W94" s="55"/>
      <c r="X94" s="55"/>
    </row>
    <row r="95" spans="1:28" ht="30" customHeight="1" x14ac:dyDescent="0.3">
      <c r="S95" s="55"/>
      <c r="T95" s="55"/>
      <c r="U95" s="221"/>
      <c r="V95" s="55"/>
      <c r="W95" s="55"/>
      <c r="X95" s="55"/>
    </row>
    <row r="96" spans="1:28" ht="30" customHeight="1" x14ac:dyDescent="0.3">
      <c r="S96" s="55"/>
      <c r="T96" s="55"/>
      <c r="U96" s="221"/>
      <c r="V96" s="55"/>
      <c r="W96" s="55"/>
      <c r="X96" s="55"/>
    </row>
    <row r="97" spans="15:24" ht="30" customHeight="1" x14ac:dyDescent="0.3">
      <c r="S97" s="55"/>
      <c r="T97" s="55"/>
      <c r="U97" s="221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UkbaYjQBcGjUQguDZpX1u7zxREdRdp6G97C1xEryfyqprjiPxrJ3AANQMTdRNBKEgTUgxsO50xhBrZ48KtXzgQ==" saltValue="HGi4szE6Iuqn/CRoV69k3A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6:Z86"/>
    <mergeCell ref="S68:T68"/>
    <mergeCell ref="S70:T70"/>
    <mergeCell ref="Y76:AA76"/>
    <mergeCell ref="W77:W79"/>
    <mergeCell ref="Y79:Z79"/>
    <mergeCell ref="Y83:AA83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115" priority="9" operator="containsText" text="Change">
      <formula>NOT(ISERROR(SEARCH("Change",R1)))</formula>
    </cfRule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45:R48">
    <cfRule type="cellIs" dxfId="114" priority="7" operator="equal">
      <formula>"Send in Change Order"</formula>
    </cfRule>
  </conditionalFormatting>
  <conditionalFormatting sqref="W68">
    <cfRule type="cellIs" dxfId="113" priority="2" operator="notEqual">
      <formula>$E$82</formula>
    </cfRule>
    <cfRule type="cellIs" dxfId="112" priority="3" operator="greaterThan">
      <formula>$E$82</formula>
    </cfRule>
    <cfRule type="cellIs" dxfId="111" priority="4" operator="notEqual">
      <formula>$E$82</formula>
    </cfRule>
  </conditionalFormatting>
  <conditionalFormatting sqref="Z12:Z44">
    <cfRule type="cellIs" dxfId="110" priority="8" operator="lessThan">
      <formula>0</formula>
    </cfRule>
  </conditionalFormatting>
  <conditionalFormatting sqref="Z49:Z68">
    <cfRule type="cellIs" dxfId="109" priority="5" operator="lessThan">
      <formula>0</formula>
    </cfRule>
  </conditionalFormatting>
  <conditionalFormatting sqref="AA68">
    <cfRule type="cellIs" dxfId="108" priority="1" operator="notEqual">
      <formula>$O$82</formula>
    </cfRule>
  </conditionalFormatting>
  <conditionalFormatting sqref="AB1:AB1048576">
    <cfRule type="containsText" dxfId="107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6" manualBreakCount="6">
    <brk id="6" max="88" man="1"/>
    <brk id="10" max="1048575" man="1"/>
    <brk id="16" max="1048575" man="1"/>
    <brk id="18" max="1048575" man="1"/>
    <brk id="27" max="88" man="1"/>
    <brk id="29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4414062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21875" style="50" customWidth="1"/>
    <col min="19" max="19" width="6.109375" style="39" customWidth="1"/>
    <col min="20" max="20" width="30.77734375" style="39" customWidth="1"/>
    <col min="21" max="21" width="17.77734375" style="219" customWidth="1"/>
    <col min="22" max="27" width="18.88671875" style="39" customWidth="1"/>
    <col min="28" max="28" width="24.3320312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220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37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220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220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221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>General Contract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22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Architect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23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37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Architect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218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#36'!V12,"OK","Send in Change Order")</f>
        <v>OK</v>
      </c>
      <c r="S12" s="85">
        <v>1</v>
      </c>
      <c r="T12" s="86" t="str">
        <f>'Request #35'!T12</f>
        <v>Land/Site Grading &amp; Improv.</v>
      </c>
      <c r="U12" s="218">
        <f>'Request #36'!U12</f>
        <v>0</v>
      </c>
      <c r="V12" s="87">
        <f>'Request #36'!V12</f>
        <v>0</v>
      </c>
      <c r="W12" s="88">
        <f>SUMIF(F7:F79,1,E7:E79)</f>
        <v>0</v>
      </c>
      <c r="X12" s="88">
        <f>'Request #36'!Y12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#36'!AA12,"OK","Alert,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#36'!V13,"OK","Send in Change Order")</f>
        <v>OK</v>
      </c>
      <c r="S13" s="85">
        <v>2</v>
      </c>
      <c r="T13" s="86" t="s">
        <v>122</v>
      </c>
      <c r="U13" s="218">
        <f>'Request #36'!U13</f>
        <v>0</v>
      </c>
      <c r="V13" s="87">
        <f>'Request #36'!V13</f>
        <v>0</v>
      </c>
      <c r="W13" s="88">
        <f>SUMIF(F7:F79,2,E7:E79)</f>
        <v>0</v>
      </c>
      <c r="X13" s="88">
        <f>'Request #36'!Y13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#36'!AA13,"OK","Alert,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#36'!V14,"OK","Send in Change Order")</f>
        <v>OK</v>
      </c>
      <c r="S14" s="85">
        <v>3</v>
      </c>
      <c r="T14" s="86" t="s">
        <v>123</v>
      </c>
      <c r="U14" s="218">
        <f>'Request #36'!U14</f>
        <v>0</v>
      </c>
      <c r="V14" s="87">
        <f>'Request #36'!V14</f>
        <v>0</v>
      </c>
      <c r="W14" s="88">
        <f>SUMIF(F7:F79,3,E7:E79)</f>
        <v>0</v>
      </c>
      <c r="X14" s="88">
        <f>'Request #36'!Y14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#36'!AA14,"OK","Alert,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#36'!V15,"OK","Send in Change Order")</f>
        <v>OK</v>
      </c>
      <c r="S15" s="85">
        <v>4</v>
      </c>
      <c r="T15" s="86" t="s">
        <v>124</v>
      </c>
      <c r="U15" s="218">
        <f>'Request #36'!U15</f>
        <v>0</v>
      </c>
      <c r="V15" s="87">
        <f>'Request #36'!V15</f>
        <v>0</v>
      </c>
      <c r="W15" s="88">
        <f>SUMIF(F7:F79,4,E7:E79)</f>
        <v>0</v>
      </c>
      <c r="X15" s="88">
        <f>'Request #36'!Y15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#36'!AA15,"OK","Alert,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#36'!V16,"OK","Send in Change Order")</f>
        <v>OK</v>
      </c>
      <c r="S16" s="85">
        <v>5</v>
      </c>
      <c r="T16" s="86" t="s">
        <v>71</v>
      </c>
      <c r="U16" s="218">
        <f>'Request #36'!U16</f>
        <v>0</v>
      </c>
      <c r="V16" s="87">
        <f>'Request #36'!V16</f>
        <v>0</v>
      </c>
      <c r="W16" s="88">
        <f>SUMIF(F7:F79,5,E7:E79)</f>
        <v>0</v>
      </c>
      <c r="X16" s="88">
        <f>'Request #36'!Y16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#36'!AA16,"OK","Alert,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#36'!V17,"OK","Send in Change Order")</f>
        <v>OK</v>
      </c>
      <c r="S17" s="85">
        <v>6</v>
      </c>
      <c r="T17" s="86" t="s">
        <v>71</v>
      </c>
      <c r="U17" s="218">
        <f>'Request #36'!U17</f>
        <v>0</v>
      </c>
      <c r="V17" s="87">
        <f>'Request #36'!V17</f>
        <v>0</v>
      </c>
      <c r="W17" s="88">
        <f>SUMIF(F7:F79,6,E7:E79)</f>
        <v>0</v>
      </c>
      <c r="X17" s="88">
        <f>'Request #36'!Y17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#36'!AA17,"OK","Alert,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#36'!V18,"OK","Send in Change Order")</f>
        <v>OK</v>
      </c>
      <c r="S18" s="85">
        <v>7</v>
      </c>
      <c r="T18" s="86" t="s">
        <v>71</v>
      </c>
      <c r="U18" s="218">
        <f>'Request #36'!U18</f>
        <v>0</v>
      </c>
      <c r="V18" s="87">
        <f>'Request #36'!V18</f>
        <v>0</v>
      </c>
      <c r="W18" s="88">
        <f>SUMIF(F7:F79,7,E7:E79)</f>
        <v>0</v>
      </c>
      <c r="X18" s="88">
        <f>'Request #36'!Y18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#36'!AA18,"OK","Alert,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#36'!V19,"OK","Send in Change Order")</f>
        <v>OK</v>
      </c>
      <c r="S19" s="85">
        <v>8</v>
      </c>
      <c r="T19" s="86" t="s">
        <v>71</v>
      </c>
      <c r="U19" s="218">
        <f>'Request #36'!U19</f>
        <v>0</v>
      </c>
      <c r="V19" s="87">
        <f>'Request #36'!V19</f>
        <v>0</v>
      </c>
      <c r="W19" s="88">
        <f>SUMIF(F7:F79,8,E7:E79)</f>
        <v>0</v>
      </c>
      <c r="X19" s="88">
        <f>'Request #36'!Y19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#36'!AA19,"OK","Alert,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#36'!V20,"OK","Send in Change Order")</f>
        <v>OK</v>
      </c>
      <c r="S20" s="85">
        <v>9</v>
      </c>
      <c r="T20" s="86" t="s">
        <v>71</v>
      </c>
      <c r="U20" s="218">
        <f>'Request #36'!U20</f>
        <v>0</v>
      </c>
      <c r="V20" s="87">
        <f>'Request #36'!V20</f>
        <v>0</v>
      </c>
      <c r="W20" s="88">
        <f>SUMIF(F7:F79,9,E7:E79)</f>
        <v>0</v>
      </c>
      <c r="X20" s="88">
        <f>'Request #36'!Y20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#36'!AA20,"OK","Alert,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#36'!V21,"OK","Send in Change Order")</f>
        <v>OK</v>
      </c>
      <c r="S21" s="85">
        <v>10</v>
      </c>
      <c r="T21" s="86" t="s">
        <v>71</v>
      </c>
      <c r="U21" s="218">
        <f>'Request #36'!U21</f>
        <v>0</v>
      </c>
      <c r="V21" s="87">
        <f>'Request #36'!V21</f>
        <v>0</v>
      </c>
      <c r="W21" s="88">
        <f>SUMIF(F7:F79,10,E7:E79)</f>
        <v>0</v>
      </c>
      <c r="X21" s="88">
        <f>'Request #36'!Y21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#36'!AA21,"OK","Alert,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#36'!V22,"OK","Send in Change Order")</f>
        <v>OK</v>
      </c>
      <c r="S22" s="85">
        <v>11</v>
      </c>
      <c r="T22" s="86" t="s">
        <v>71</v>
      </c>
      <c r="U22" s="218">
        <f>'Request #36'!U22</f>
        <v>0</v>
      </c>
      <c r="V22" s="87">
        <f>'Request #36'!V22</f>
        <v>0</v>
      </c>
      <c r="W22" s="88">
        <f>SUMIF(F7:F79,11,E7:E79)</f>
        <v>0</v>
      </c>
      <c r="X22" s="88">
        <f>'Request #36'!Y22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#36'!AA22,"OK","Alert,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#36'!V23,"OK","Send in Change Order")</f>
        <v>OK</v>
      </c>
      <c r="S23" s="85">
        <v>12</v>
      </c>
      <c r="T23" s="86" t="s">
        <v>71</v>
      </c>
      <c r="U23" s="218">
        <f>'Request #36'!U23</f>
        <v>0</v>
      </c>
      <c r="V23" s="87">
        <f>'Request #36'!V23</f>
        <v>0</v>
      </c>
      <c r="W23" s="88">
        <f>SUMIF(F7:F79,12,E7:E79)</f>
        <v>0</v>
      </c>
      <c r="X23" s="88">
        <f>'Request #36'!Y23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#36'!AA23,"OK","Alert,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#36'!V24,"OK","Send in Change Order")</f>
        <v>OK</v>
      </c>
      <c r="S24" s="85">
        <v>13</v>
      </c>
      <c r="T24" s="86" t="s">
        <v>71</v>
      </c>
      <c r="U24" s="218">
        <f>'Request #36'!U24</f>
        <v>0</v>
      </c>
      <c r="V24" s="87">
        <f>'Request #36'!V24</f>
        <v>0</v>
      </c>
      <c r="W24" s="88">
        <f>SUMIF(F7:F79,13,E7:E79)</f>
        <v>0</v>
      </c>
      <c r="X24" s="88">
        <f>'Request #36'!Y24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#36'!AA24,"OK","Alert,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#36'!V25,"OK","Send in Change Order")</f>
        <v>OK</v>
      </c>
      <c r="S25" s="85">
        <v>14</v>
      </c>
      <c r="T25" s="86" t="s">
        <v>71</v>
      </c>
      <c r="U25" s="218">
        <f>'Request #36'!U25</f>
        <v>0</v>
      </c>
      <c r="V25" s="87">
        <f>'Request #36'!V25</f>
        <v>0</v>
      </c>
      <c r="W25" s="88">
        <f>SUMIF(F7:F79,14,E7:E79)</f>
        <v>0</v>
      </c>
      <c r="X25" s="88">
        <f>'Request #36'!Y25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#36'!AA25,"OK","Alert,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#36'!V26,"OK","Send in Change Order")</f>
        <v>OK</v>
      </c>
      <c r="S26" s="85">
        <v>15</v>
      </c>
      <c r="T26" s="86" t="s">
        <v>71</v>
      </c>
      <c r="U26" s="218">
        <f>'Request #36'!U26</f>
        <v>0</v>
      </c>
      <c r="V26" s="87">
        <f>'Request #36'!V26</f>
        <v>0</v>
      </c>
      <c r="W26" s="88">
        <f>SUMIF(F7:F79,15,E7:E79)</f>
        <v>0</v>
      </c>
      <c r="X26" s="88">
        <f>'Request #36'!Y26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#36'!AA26,"OK","Alert,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#36'!V27,"OK","Send in Change Order")</f>
        <v>OK</v>
      </c>
      <c r="S27" s="85">
        <v>16</v>
      </c>
      <c r="T27" s="86" t="s">
        <v>71</v>
      </c>
      <c r="U27" s="218">
        <f>'Request #36'!U27</f>
        <v>0</v>
      </c>
      <c r="V27" s="87">
        <f>'Request #36'!V27</f>
        <v>0</v>
      </c>
      <c r="W27" s="88">
        <f>SUMIF(F7:F79,16,E7:E79)</f>
        <v>0</v>
      </c>
      <c r="X27" s="88">
        <f>'Request #36'!Y27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#36'!AA27,"OK","Alert,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#36'!V28,"OK","Send in Change Order")</f>
        <v>OK</v>
      </c>
      <c r="S28" s="85">
        <v>17</v>
      </c>
      <c r="T28" s="86" t="s">
        <v>71</v>
      </c>
      <c r="U28" s="218">
        <f>'Request #36'!U28</f>
        <v>0</v>
      </c>
      <c r="V28" s="87">
        <f>'Request #36'!V28</f>
        <v>0</v>
      </c>
      <c r="W28" s="88">
        <f>SUMIF(F7:F79,17,E7:E79)</f>
        <v>0</v>
      </c>
      <c r="X28" s="88">
        <f>'Request #36'!Y28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#36'!AA28,"OK","Alert,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#36'!V29,"OK","Send in Change Order")</f>
        <v>OK</v>
      </c>
      <c r="S29" s="85">
        <v>18</v>
      </c>
      <c r="T29" s="86" t="s">
        <v>71</v>
      </c>
      <c r="U29" s="218">
        <f>'Request #36'!U29</f>
        <v>0</v>
      </c>
      <c r="V29" s="87">
        <f>'Request #36'!V29</f>
        <v>0</v>
      </c>
      <c r="W29" s="88">
        <f>SUMIF(F7:F79,18,E7:E79)</f>
        <v>0</v>
      </c>
      <c r="X29" s="88">
        <f>'Request #36'!Y29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#36'!AA29,"OK","Alert,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#36'!V30,"OK","Send in Change Order")</f>
        <v>OK</v>
      </c>
      <c r="S30" s="85">
        <v>19</v>
      </c>
      <c r="T30" s="86" t="s">
        <v>71</v>
      </c>
      <c r="U30" s="218">
        <f>'Request #36'!U30</f>
        <v>0</v>
      </c>
      <c r="V30" s="87">
        <f>'Request #36'!V30</f>
        <v>0</v>
      </c>
      <c r="W30" s="88">
        <f>SUMIF(F7:F79,19,E7:E79)</f>
        <v>0</v>
      </c>
      <c r="X30" s="88">
        <f>'Request #36'!Y30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#36'!AA30,"OK","Alert,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#36'!V31,"OK","Send in Change Order")</f>
        <v>OK</v>
      </c>
      <c r="S31" s="85">
        <v>20</v>
      </c>
      <c r="T31" s="86" t="s">
        <v>71</v>
      </c>
      <c r="U31" s="218">
        <f>'Request #36'!U31</f>
        <v>0</v>
      </c>
      <c r="V31" s="87">
        <f>'Request #36'!V31</f>
        <v>0</v>
      </c>
      <c r="W31" s="88">
        <f>SUMIF(F7:F79,20,E7:E79)</f>
        <v>0</v>
      </c>
      <c r="X31" s="88">
        <f>'Request #36'!Y31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#36'!AA31,"OK","Alert,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#36'!V32,"OK","Send in Change Order")</f>
        <v>OK</v>
      </c>
      <c r="S32" s="85">
        <v>21</v>
      </c>
      <c r="T32" s="86" t="s">
        <v>71</v>
      </c>
      <c r="U32" s="218">
        <f>'Request #36'!U32</f>
        <v>0</v>
      </c>
      <c r="V32" s="87">
        <f>'Request #36'!V32</f>
        <v>0</v>
      </c>
      <c r="W32" s="88">
        <f>SUMIF(F7:F79,21,E7:E79)</f>
        <v>0</v>
      </c>
      <c r="X32" s="88">
        <f>'Request #36'!Y32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#36'!AA32,"OK","Alert,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#36'!V33,"OK","Send in Change Order")</f>
        <v>OK</v>
      </c>
      <c r="S33" s="85">
        <v>22</v>
      </c>
      <c r="T33" s="86" t="s">
        <v>71</v>
      </c>
      <c r="U33" s="218">
        <f>'Request #36'!U33</f>
        <v>0</v>
      </c>
      <c r="V33" s="87">
        <f>'Request #36'!V33</f>
        <v>0</v>
      </c>
      <c r="W33" s="88">
        <f>SUMIF(F7:F79,22,E7:E79)</f>
        <v>0</v>
      </c>
      <c r="X33" s="88">
        <f>'Request #36'!Y33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#36'!AA33,"OK","Alert,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#36'!V34,"OK","Send in Change Order")</f>
        <v>OK</v>
      </c>
      <c r="S34" s="85">
        <v>23</v>
      </c>
      <c r="T34" s="86" t="s">
        <v>71</v>
      </c>
      <c r="U34" s="218">
        <f>'Request #36'!U34</f>
        <v>0</v>
      </c>
      <c r="V34" s="87">
        <f>'Request #36'!V34</f>
        <v>0</v>
      </c>
      <c r="W34" s="88">
        <f>SUMIF(F7:F79,23,E7:E79)</f>
        <v>0</v>
      </c>
      <c r="X34" s="88">
        <f>'Request #36'!Y34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#36'!AA34,"OK","Alert,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IF(V36='Request #36'!V36,"OK","Send in Change Order")</f>
        <v>OK</v>
      </c>
      <c r="S35" s="85">
        <v>24</v>
      </c>
      <c r="T35" s="86" t="s">
        <v>71</v>
      </c>
      <c r="U35" s="218">
        <f>'Request #36'!U35</f>
        <v>0</v>
      </c>
      <c r="V35" s="87">
        <f>'Request #36'!V35</f>
        <v>0</v>
      </c>
      <c r="W35" s="88">
        <f>SUMIF(F7:F79,24,E7:E79)</f>
        <v>0</v>
      </c>
      <c r="X35" s="88">
        <f>'Request #36'!Y35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IF(W36&gt;='Request #36'!AA36,"OK","Alert,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#36'!V36,"OK","Send in Change Order")</f>
        <v>OK</v>
      </c>
      <c r="S36" s="85">
        <v>25</v>
      </c>
      <c r="T36" s="86" t="s">
        <v>71</v>
      </c>
      <c r="U36" s="218">
        <f>'Request #36'!U36</f>
        <v>0</v>
      </c>
      <c r="V36" s="87">
        <f>'Request #36'!V36</f>
        <v>0</v>
      </c>
      <c r="W36" s="88">
        <f>SUMIF(F7:F79,25,E7:E79)</f>
        <v>0</v>
      </c>
      <c r="X36" s="88">
        <f>'Request #36'!Y36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#36'!AA36,"OK","Alert,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#36'!V37,"OK","Send in Change Order")</f>
        <v>OK</v>
      </c>
      <c r="S37" s="85">
        <v>26</v>
      </c>
      <c r="T37" s="86" t="s">
        <v>82</v>
      </c>
      <c r="U37" s="218">
        <f>'Request #36'!U37</f>
        <v>0</v>
      </c>
      <c r="V37" s="87">
        <f>'Request #36'!V37</f>
        <v>0</v>
      </c>
      <c r="W37" s="88">
        <f>SUMIF(F7:F79,26,E7:E79)</f>
        <v>0</v>
      </c>
      <c r="X37" s="88">
        <f>'Request #36'!Y37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#36'!AA37,"OK","Alert,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#36'!V38,"OK","Send in Change Order")</f>
        <v>OK</v>
      </c>
      <c r="S38" s="85">
        <v>27</v>
      </c>
      <c r="T38" s="86" t="s">
        <v>82</v>
      </c>
      <c r="U38" s="218">
        <f>'Request #36'!U38</f>
        <v>0</v>
      </c>
      <c r="V38" s="87">
        <f>'Request #36'!V38</f>
        <v>0</v>
      </c>
      <c r="W38" s="88">
        <f>SUMIF(F7:F79,27,E7:E79)</f>
        <v>0</v>
      </c>
      <c r="X38" s="88">
        <f>'Request #36'!Y38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#36'!AA38,"OK","Alert,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#36'!V39,"OK","Send in Change Order")</f>
        <v>OK</v>
      </c>
      <c r="S39" s="85">
        <v>28</v>
      </c>
      <c r="T39" s="86" t="s">
        <v>82</v>
      </c>
      <c r="U39" s="218">
        <f>'Request #36'!U39</f>
        <v>0</v>
      </c>
      <c r="V39" s="87">
        <f>'Request #36'!V39</f>
        <v>0</v>
      </c>
      <c r="W39" s="88">
        <f>SUMIF(F7:F79,28,E7:E79)</f>
        <v>0</v>
      </c>
      <c r="X39" s="88">
        <f>'Request #36'!Y39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#36'!AA39,"OK","Alert,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#36'!V40,"OK","Send in Change Order")</f>
        <v>OK</v>
      </c>
      <c r="S40" s="85">
        <v>29</v>
      </c>
      <c r="T40" s="86" t="s">
        <v>82</v>
      </c>
      <c r="U40" s="218">
        <f>'Request #36'!U40</f>
        <v>0</v>
      </c>
      <c r="V40" s="87">
        <f>'Request #36'!V40</f>
        <v>0</v>
      </c>
      <c r="W40" s="88">
        <f>SUMIF(F7:F79,29,E7:E79)</f>
        <v>0</v>
      </c>
      <c r="X40" s="88">
        <f>'Request #36'!Y40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#36'!AA40,"OK","Alert,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#36'!V41,"OK","Send in Change Order")</f>
        <v>OK</v>
      </c>
      <c r="S41" s="85">
        <v>30</v>
      </c>
      <c r="T41" s="86" t="s">
        <v>82</v>
      </c>
      <c r="U41" s="218">
        <f>'Request #36'!U41</f>
        <v>0</v>
      </c>
      <c r="V41" s="87">
        <f>'Request #36'!V41</f>
        <v>0</v>
      </c>
      <c r="W41" s="88">
        <f>SUMIF(F7:F79,30,E7:E79)</f>
        <v>0</v>
      </c>
      <c r="X41" s="88">
        <f>'Request #36'!Y41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#36'!AA41,"OK","Alert,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#36'!V42,"OK","Send in Change Order")</f>
        <v>OK</v>
      </c>
      <c r="S42" s="85">
        <v>31</v>
      </c>
      <c r="T42" s="86" t="s">
        <v>82</v>
      </c>
      <c r="U42" s="218">
        <f>'Request #36'!U42</f>
        <v>0</v>
      </c>
      <c r="V42" s="87">
        <f>'Request #36'!V42</f>
        <v>0</v>
      </c>
      <c r="W42" s="88">
        <f>SUMIF(F7:F79,31,E7:E79)</f>
        <v>0</v>
      </c>
      <c r="X42" s="88">
        <f>'Request #36'!Y42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#36'!AA42,"OK","Alert,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#36'!V43,"OK","Send in Change Order")</f>
        <v>OK</v>
      </c>
      <c r="S43" s="85">
        <v>32</v>
      </c>
      <c r="T43" s="86" t="s">
        <v>82</v>
      </c>
      <c r="U43" s="218">
        <f>'Request #36'!U43</f>
        <v>0</v>
      </c>
      <c r="V43" s="87">
        <f>'Request #36'!V43</f>
        <v>0</v>
      </c>
      <c r="W43" s="88">
        <f>SUMIF(F7:F79,32,E7:E79)</f>
        <v>0</v>
      </c>
      <c r="X43" s="88">
        <f>'Request #36'!Y43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#36'!AA43,"OK","Alert,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#36'!V44,"OK","Send in Change Order")</f>
        <v>OK</v>
      </c>
      <c r="S44" s="85">
        <v>33</v>
      </c>
      <c r="T44" s="86" t="s">
        <v>82</v>
      </c>
      <c r="U44" s="218">
        <f>'Request #36'!U44</f>
        <v>0</v>
      </c>
      <c r="V44" s="87">
        <f>'Request #36'!V44</f>
        <v>0</v>
      </c>
      <c r="W44" s="88">
        <f>SUMIF(F7:F79,33,E7:E79)</f>
        <v>0</v>
      </c>
      <c r="X44" s="88">
        <f>'Request #36'!Y44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#36'!AA44,"OK","Alert,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#36'!V49,"OK","Send in Change Order")</f>
        <v>OK</v>
      </c>
      <c r="S49" s="85">
        <v>38</v>
      </c>
      <c r="T49" s="86" t="s">
        <v>82</v>
      </c>
      <c r="U49" s="218">
        <f>'Request #36'!U49</f>
        <v>0</v>
      </c>
      <c r="V49" s="87">
        <f>'Request #36'!V49</f>
        <v>0</v>
      </c>
      <c r="W49" s="88">
        <f>SUMIF(F7:F79,38,E7:E79)</f>
        <v>0</v>
      </c>
      <c r="X49" s="88">
        <f>'Request #36'!Y49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#36'!AA49,"OK","Alert,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#36'!V50,"OK","Send in Change Order")</f>
        <v>OK</v>
      </c>
      <c r="S50" s="85">
        <v>39</v>
      </c>
      <c r="T50" s="86" t="s">
        <v>82</v>
      </c>
      <c r="U50" s="218">
        <f>'Request #36'!U50</f>
        <v>0</v>
      </c>
      <c r="V50" s="87">
        <f>'Request #36'!V50</f>
        <v>0</v>
      </c>
      <c r="W50" s="88">
        <f>SUMIF(F7:F79,39,E7:E79)</f>
        <v>0</v>
      </c>
      <c r="X50" s="88">
        <f>'Request #36'!Y50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#36'!AA50,"OK","Alert,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#36'!V51,"OK","Send in Change Order")</f>
        <v>OK</v>
      </c>
      <c r="S51" s="85">
        <v>40</v>
      </c>
      <c r="T51" s="86" t="s">
        <v>82</v>
      </c>
      <c r="U51" s="218">
        <f>'Request #36'!U51</f>
        <v>0</v>
      </c>
      <c r="V51" s="87">
        <f>'Request #36'!V51</f>
        <v>0</v>
      </c>
      <c r="W51" s="88">
        <f>SUMIF(F7:F79,40,E7:E79)</f>
        <v>0</v>
      </c>
      <c r="X51" s="88">
        <f>'Request #36'!Y51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#36'!AA51,"OK","Alert,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#36'!V52,"OK","Send in Change Order")</f>
        <v>OK</v>
      </c>
      <c r="S52" s="85">
        <v>41</v>
      </c>
      <c r="T52" s="86" t="s">
        <v>82</v>
      </c>
      <c r="U52" s="218">
        <f>'Request #36'!U52</f>
        <v>0</v>
      </c>
      <c r="V52" s="87">
        <f>'Request #36'!V52</f>
        <v>0</v>
      </c>
      <c r="W52" s="88">
        <f>SUMIF(F7:F79,41,E7:E79)</f>
        <v>0</v>
      </c>
      <c r="X52" s="88">
        <f>'Request #36'!Y52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#36'!AA52,"OK","Alert,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#36'!V53,"OK","Send in Change Order")</f>
        <v>OK</v>
      </c>
      <c r="S53" s="85">
        <v>42</v>
      </c>
      <c r="T53" s="86" t="s">
        <v>82</v>
      </c>
      <c r="U53" s="218">
        <f>'Request #36'!U53</f>
        <v>0</v>
      </c>
      <c r="V53" s="87">
        <f>'Request #36'!V53</f>
        <v>0</v>
      </c>
      <c r="W53" s="88">
        <f>SUMIF(F7:F79,42,E7:E79)</f>
        <v>0</v>
      </c>
      <c r="X53" s="88">
        <f>'Request #36'!Y53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#36'!AA53,"OK","Alert,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#36'!V54,"OK","Send in Change Order")</f>
        <v>OK</v>
      </c>
      <c r="S54" s="85">
        <v>43</v>
      </c>
      <c r="T54" s="86" t="s">
        <v>82</v>
      </c>
      <c r="U54" s="218">
        <f>'Request #36'!U54</f>
        <v>0</v>
      </c>
      <c r="V54" s="87">
        <f>'Request #36'!V54</f>
        <v>0</v>
      </c>
      <c r="W54" s="88">
        <f>SUMIF(F7:F79,43,E7:E79)</f>
        <v>0</v>
      </c>
      <c r="X54" s="88">
        <f>'Request #36'!Y54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#36'!AA54,"OK","Alert,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#36'!V55,"OK","Send in Change Order")</f>
        <v>OK</v>
      </c>
      <c r="S55" s="85">
        <v>44</v>
      </c>
      <c r="T55" s="86" t="s">
        <v>82</v>
      </c>
      <c r="U55" s="218">
        <f>'Request #36'!U55</f>
        <v>0</v>
      </c>
      <c r="V55" s="87">
        <f>'Request #36'!V55</f>
        <v>0</v>
      </c>
      <c r="W55" s="88">
        <f>SUMIF(F7:F79,44,E7:E79)</f>
        <v>0</v>
      </c>
      <c r="X55" s="88">
        <f>'Request #36'!Y55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#36'!AA55,"OK","Alert,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#36'!V56,"OK","Send in Change Order")</f>
        <v>OK</v>
      </c>
      <c r="S56" s="85">
        <v>45</v>
      </c>
      <c r="T56" s="86" t="s">
        <v>82</v>
      </c>
      <c r="U56" s="218">
        <f>'Request #36'!U56</f>
        <v>0</v>
      </c>
      <c r="V56" s="87">
        <f>'Request #36'!V56</f>
        <v>0</v>
      </c>
      <c r="W56" s="88">
        <f>SUMIF(F7:F79,45,E7:E79)</f>
        <v>0</v>
      </c>
      <c r="X56" s="88">
        <f>'Request #36'!Y56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#36'!AA56,"OK","Alert,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#36'!V57,"OK","Send in Change Order")</f>
        <v>OK</v>
      </c>
      <c r="S57" s="85">
        <v>46</v>
      </c>
      <c r="T57" s="86" t="s">
        <v>82</v>
      </c>
      <c r="U57" s="218">
        <f>'Request #36'!U57</f>
        <v>0</v>
      </c>
      <c r="V57" s="87">
        <f>'Request #36'!V57</f>
        <v>0</v>
      </c>
      <c r="W57" s="88">
        <f>SUMIF(F7:F79,46,E7:E79)</f>
        <v>0</v>
      </c>
      <c r="X57" s="88">
        <f>'Request #36'!Y57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#36'!AA57,"OK","Alert,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#36'!V58,"OK","Send in Change Order")</f>
        <v>OK</v>
      </c>
      <c r="S58" s="85">
        <v>47</v>
      </c>
      <c r="T58" s="86" t="s">
        <v>82</v>
      </c>
      <c r="U58" s="218">
        <f>'Request #36'!U58</f>
        <v>0</v>
      </c>
      <c r="V58" s="87">
        <f>'Request #36'!V58</f>
        <v>0</v>
      </c>
      <c r="W58" s="88">
        <f>SUMIF(F7:F79,47,E7:E79)</f>
        <v>0</v>
      </c>
      <c r="X58" s="88">
        <f>'Request #36'!Y58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#36'!AA58,"OK","Alert,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#36'!V59,"OK","Send in Change Order")</f>
        <v>OK</v>
      </c>
      <c r="S59" s="85">
        <v>48</v>
      </c>
      <c r="T59" s="86" t="s">
        <v>82</v>
      </c>
      <c r="U59" s="218">
        <f>'Request #36'!U59</f>
        <v>0</v>
      </c>
      <c r="V59" s="87">
        <f>'Request #36'!V59</f>
        <v>0</v>
      </c>
      <c r="W59" s="88">
        <f>SUMIF(F7:F79,48,E7:E79)</f>
        <v>0</v>
      </c>
      <c r="X59" s="88">
        <f>'Request #36'!Y59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#36'!AA59,"OK","Alert,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#36'!V60,"OK","Send in Change Order")</f>
        <v>OK</v>
      </c>
      <c r="S60" s="85">
        <v>49</v>
      </c>
      <c r="T60" s="86" t="s">
        <v>82</v>
      </c>
      <c r="U60" s="218">
        <f>'Request #36'!U60</f>
        <v>0</v>
      </c>
      <c r="V60" s="87">
        <f>'Request #36'!V60</f>
        <v>0</v>
      </c>
      <c r="W60" s="88">
        <f>SUMIF(F7:F79,49,E7:E79)</f>
        <v>0</v>
      </c>
      <c r="X60" s="88">
        <f>'Request #36'!Y60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#36'!AA60,"OK","Alert,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#36'!V61,"OK","Send in Change Order")</f>
        <v>OK</v>
      </c>
      <c r="S61" s="85">
        <v>50</v>
      </c>
      <c r="T61" s="86" t="s">
        <v>82</v>
      </c>
      <c r="U61" s="218">
        <f>'Request #36'!U61</f>
        <v>0</v>
      </c>
      <c r="V61" s="87">
        <f>'Request #36'!V61</f>
        <v>0</v>
      </c>
      <c r="W61" s="88">
        <f>SUMIF(F7:F79,50,E7:E79)</f>
        <v>0</v>
      </c>
      <c r="X61" s="88">
        <f>'Request #36'!Y61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#36'!AA61,"OK","Alert,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#36'!V62,"OK","Send in Change Order")</f>
        <v>OK</v>
      </c>
      <c r="S62" s="85">
        <v>51</v>
      </c>
      <c r="T62" s="86" t="s">
        <v>82</v>
      </c>
      <c r="U62" s="218">
        <f>'Request #36'!U62</f>
        <v>0</v>
      </c>
      <c r="V62" s="87">
        <f>'Request #36'!V62</f>
        <v>0</v>
      </c>
      <c r="W62" s="88">
        <f>SUMIF(F7:F79,51,E7:E79)</f>
        <v>0</v>
      </c>
      <c r="X62" s="88">
        <f>'Request #36'!Y62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#36'!AA62,"OK","Alert,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#36'!V63,"OK","Send in Change Order")</f>
        <v>OK</v>
      </c>
      <c r="S63" s="85">
        <v>52</v>
      </c>
      <c r="T63" s="86" t="s">
        <v>88</v>
      </c>
      <c r="U63" s="218">
        <f>'Request #36'!U63</f>
        <v>0</v>
      </c>
      <c r="V63" s="87">
        <f>'Request #36'!V63</f>
        <v>0</v>
      </c>
      <c r="W63" s="88">
        <f>SUMIF(F7:F79,52,E7:E79)</f>
        <v>0</v>
      </c>
      <c r="X63" s="88">
        <f>'Request #36'!Y63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#36'!AA63,"OK","Alert,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#36'!V64,"OK","Send in Change Order")</f>
        <v>OK</v>
      </c>
      <c r="S64" s="85">
        <v>53</v>
      </c>
      <c r="T64" s="86" t="s">
        <v>89</v>
      </c>
      <c r="U64" s="218">
        <f>'Request #36'!U64</f>
        <v>0</v>
      </c>
      <c r="V64" s="87">
        <f>'Request #36'!V64</f>
        <v>0</v>
      </c>
      <c r="W64" s="88">
        <f>SUMIF(F7:F79,53,E7:E79)</f>
        <v>0</v>
      </c>
      <c r="X64" s="88">
        <f>'Request #36'!Y64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#36'!AA64,"OK","Alert,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#36'!V65,"OK","Send in Change Order")</f>
        <v>OK</v>
      </c>
      <c r="S65" s="85">
        <v>54</v>
      </c>
      <c r="T65" s="102" t="s">
        <v>90</v>
      </c>
      <c r="U65" s="218">
        <f>'Request #36'!U65</f>
        <v>0</v>
      </c>
      <c r="V65" s="87">
        <f>'Request #36'!V65</f>
        <v>0</v>
      </c>
      <c r="W65" s="104"/>
      <c r="X65" s="88">
        <f>'Request #36'!Y65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#36'!AA65,"OK","Alert,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#36'!V66,"OK","Send in Change Order")</f>
        <v>OK</v>
      </c>
      <c r="S66" s="85">
        <v>55</v>
      </c>
      <c r="T66" s="86"/>
      <c r="U66" s="218">
        <f>'Request #36'!U66</f>
        <v>0</v>
      </c>
      <c r="V66" s="87">
        <f>'Request #36'!V66</f>
        <v>0</v>
      </c>
      <c r="W66" s="88">
        <f>SUMIF(F7:F79,55,E7:E79)</f>
        <v>0</v>
      </c>
      <c r="X66" s="88">
        <f>'Request #36'!Y66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#36'!AA66,"OK","Alert,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#36'!V67,"OK","Send in Change Order")</f>
        <v>OK</v>
      </c>
      <c r="S67" s="85">
        <v>56</v>
      </c>
      <c r="T67" s="79"/>
      <c r="U67" s="218">
        <f>'Request #36'!U67</f>
        <v>0</v>
      </c>
      <c r="V67" s="87">
        <f>'Request #36'!V67</f>
        <v>0</v>
      </c>
      <c r="W67" s="88">
        <f>SUMIF(F7:F79,56,E7:E79)</f>
        <v>0</v>
      </c>
      <c r="X67" s="88">
        <f>'Request #36'!Y67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#36'!AA67,"OK","Alert,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#36'!V68,"OK","Send in Change Order")</f>
        <v>OK</v>
      </c>
      <c r="S68" s="316" t="s">
        <v>60</v>
      </c>
      <c r="T68" s="317"/>
      <c r="U68" s="224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#36'!AA68,"OK","Alert,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25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226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27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28" t="e">
        <f>V72/V68</f>
        <v>#DIV/0!</v>
      </c>
      <c r="V72" s="88">
        <f>V68-V74-V73</f>
        <v>0</v>
      </c>
      <c r="W72" s="87">
        <v>0</v>
      </c>
      <c r="X72" s="88">
        <f>'Request #36'!Y72</f>
        <v>0</v>
      </c>
      <c r="Y72" s="88">
        <f t="shared" ref="Y72:Y73" si="8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S73" s="86" t="s">
        <v>95</v>
      </c>
      <c r="T73" s="114"/>
      <c r="U73" s="228" t="e">
        <f>V73/V68</f>
        <v>#DIV/0!</v>
      </c>
      <c r="V73" s="87">
        <f>'Request #36'!V73</f>
        <v>0</v>
      </c>
      <c r="W73" s="87">
        <v>0</v>
      </c>
      <c r="X73" s="88">
        <f>'Request #36'!Y73</f>
        <v>0</v>
      </c>
      <c r="Y73" s="88">
        <f t="shared" si="8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S74" s="120" t="s">
        <v>96</v>
      </c>
      <c r="T74" s="121"/>
      <c r="U74" s="228" t="e">
        <f>V74/V68</f>
        <v>#DIV/0!</v>
      </c>
      <c r="V74" s="87">
        <f>'Request #36'!V74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221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30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30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31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221"/>
      <c r="V80" s="55"/>
      <c r="W80" s="55"/>
      <c r="X80" s="138"/>
      <c r="Y80" s="45" t="s">
        <v>108</v>
      </c>
      <c r="Z80" s="43"/>
      <c r="AA80" s="88">
        <f>'Request #36'!AA79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37</v>
      </c>
      <c r="V87" s="55"/>
      <c r="W87" s="55"/>
      <c r="X87" s="138"/>
      <c r="Y87" s="45" t="s">
        <v>108</v>
      </c>
      <c r="Z87" s="43"/>
      <c r="AA87" s="88">
        <f>'Request #36'!AA86</f>
        <v>0</v>
      </c>
      <c r="AB87" s="110"/>
    </row>
    <row r="88" spans="1:28" ht="30" customHeight="1" thickBot="1" x14ac:dyDescent="0.35">
      <c r="S88" s="55"/>
      <c r="T88" s="55"/>
      <c r="U88" s="221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221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221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221"/>
      <c r="V91" s="55"/>
      <c r="W91" s="55"/>
      <c r="X91" s="55"/>
    </row>
    <row r="92" spans="1:28" ht="30" customHeight="1" x14ac:dyDescent="0.3">
      <c r="S92" s="55"/>
      <c r="T92" s="55"/>
      <c r="U92" s="221"/>
      <c r="V92" s="55"/>
      <c r="W92" s="55"/>
      <c r="X92" s="55"/>
    </row>
    <row r="93" spans="1:28" ht="30" customHeight="1" x14ac:dyDescent="0.3">
      <c r="S93" s="55"/>
      <c r="T93" s="55"/>
      <c r="U93" s="221"/>
      <c r="V93" s="55"/>
      <c r="W93" s="55"/>
      <c r="X93" s="55"/>
    </row>
    <row r="94" spans="1:28" ht="30" customHeight="1" x14ac:dyDescent="0.3">
      <c r="S94" s="55"/>
      <c r="T94" s="55"/>
      <c r="U94" s="221"/>
      <c r="V94" s="55"/>
      <c r="W94" s="55"/>
      <c r="X94" s="55"/>
    </row>
    <row r="95" spans="1:28" ht="30" customHeight="1" x14ac:dyDescent="0.3">
      <c r="S95" s="55"/>
      <c r="T95" s="55"/>
      <c r="U95" s="221"/>
      <c r="V95" s="55"/>
      <c r="W95" s="55"/>
      <c r="X95" s="55"/>
    </row>
    <row r="96" spans="1:28" ht="30" customHeight="1" x14ac:dyDescent="0.3">
      <c r="S96" s="55"/>
      <c r="T96" s="55"/>
      <c r="U96" s="221"/>
      <c r="V96" s="55"/>
      <c r="W96" s="55"/>
      <c r="X96" s="55"/>
    </row>
    <row r="97" spans="15:24" ht="30" customHeight="1" x14ac:dyDescent="0.3">
      <c r="S97" s="55"/>
      <c r="T97" s="55"/>
      <c r="U97" s="221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20.25" x14ac:dyDescent="0.3">
      <c r="O115" s="55"/>
    </row>
    <row r="116" spans="15:15" ht="20.25" x14ac:dyDescent="0.3">
      <c r="O116" s="55"/>
    </row>
    <row r="117" spans="15:15" ht="20.25" x14ac:dyDescent="0.3">
      <c r="O117" s="55"/>
    </row>
    <row r="118" spans="15:15" ht="20.25" x14ac:dyDescent="0.3">
      <c r="O118" s="55"/>
    </row>
    <row r="119" spans="15:15" ht="20.25" x14ac:dyDescent="0.3">
      <c r="O119" s="55"/>
    </row>
    <row r="120" spans="15:15" ht="20.25" x14ac:dyDescent="0.3">
      <c r="O120" s="55"/>
    </row>
    <row r="121" spans="15:15" ht="20.25" x14ac:dyDescent="0.3">
      <c r="O121" s="55"/>
    </row>
    <row r="122" spans="15:15" ht="20.25" x14ac:dyDescent="0.3">
      <c r="O122" s="55"/>
    </row>
    <row r="123" spans="15:15" ht="20.25" x14ac:dyDescent="0.3">
      <c r="O123" s="55"/>
    </row>
    <row r="124" spans="15:15" ht="20.25" x14ac:dyDescent="0.3">
      <c r="O124" s="55"/>
    </row>
    <row r="125" spans="15:15" ht="20.25" x14ac:dyDescent="0.3">
      <c r="O125" s="55"/>
    </row>
    <row r="126" spans="15:15" ht="20.25" x14ac:dyDescent="0.3">
      <c r="O126" s="55"/>
    </row>
    <row r="127" spans="15:15" ht="20.25" x14ac:dyDescent="0.3">
      <c r="O127" s="55"/>
    </row>
    <row r="128" spans="15:15" ht="20.25" x14ac:dyDescent="0.3">
      <c r="O128" s="55"/>
    </row>
    <row r="129" spans="15:15" ht="20.25" x14ac:dyDescent="0.3">
      <c r="O129" s="55"/>
    </row>
    <row r="130" spans="15:15" ht="20.25" x14ac:dyDescent="0.3">
      <c r="O130" s="55"/>
    </row>
    <row r="131" spans="15:15" ht="20.25" x14ac:dyDescent="0.3">
      <c r="O131" s="55"/>
    </row>
    <row r="132" spans="15:15" ht="20.25" x14ac:dyDescent="0.3">
      <c r="O132" s="55"/>
    </row>
    <row r="133" spans="15:15" ht="20.25" x14ac:dyDescent="0.3">
      <c r="O133" s="55"/>
    </row>
    <row r="134" spans="15:15" ht="20.25" x14ac:dyDescent="0.3">
      <c r="O134" s="55"/>
    </row>
    <row r="135" spans="15:15" ht="20.25" x14ac:dyDescent="0.3">
      <c r="O135" s="55"/>
    </row>
  </sheetData>
  <sheetProtection algorithmName="SHA-512" hashValue="eJGiU6BOZK5Xp11geT12GoVvlEr6EYHAplaXRTl7mvEFA64y1++Yw7E7H0yFt6go5rJrX3Doscu+kWIv7MaDog==" saltValue="L3uBETv4naHRKlUn6wdWeA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T10:U10"/>
    <mergeCell ref="C5:C6"/>
    <mergeCell ref="F5:F6"/>
    <mergeCell ref="M5:M6"/>
    <mergeCell ref="P5:P6"/>
    <mergeCell ref="S7:AA7"/>
    <mergeCell ref="Y86:Z86"/>
    <mergeCell ref="S68:T68"/>
    <mergeCell ref="S70:T70"/>
    <mergeCell ref="Y76:AA76"/>
    <mergeCell ref="W77:W79"/>
    <mergeCell ref="Y79:Z79"/>
    <mergeCell ref="Y83:AA83"/>
  </mergeCells>
  <conditionalFormatting sqref="R1:R1048576">
    <cfRule type="containsText" dxfId="106" priority="10" operator="containsText" text="Change">
      <formula>NOT(ISERROR(SEARCH("Change",R1)))</formula>
    </cfRule>
  </conditionalFormatting>
  <conditionalFormatting sqref="R45:R48">
    <cfRule type="cellIs" dxfId="105" priority="7" operator="equal">
      <formula>"Send in Change Order"</formula>
    </cfRule>
  </conditionalFormatting>
  <conditionalFormatting sqref="W68">
    <cfRule type="cellIs" dxfId="104" priority="2" operator="notEqual">
      <formula>$E$82</formula>
    </cfRule>
    <cfRule type="cellIs" dxfId="103" priority="3" operator="greaterThan">
      <formula>$E$82</formula>
    </cfRule>
    <cfRule type="cellIs" dxfId="102" priority="4" operator="notEqual">
      <formula>$E$82</formula>
    </cfRule>
  </conditionalFormatting>
  <conditionalFormatting sqref="Z12:Z44">
    <cfRule type="cellIs" dxfId="101" priority="8" operator="lessThan">
      <formula>0</formula>
    </cfRule>
  </conditionalFormatting>
  <conditionalFormatting sqref="Z49:Z68">
    <cfRule type="cellIs" dxfId="100" priority="5" operator="lessThan">
      <formula>0</formula>
    </cfRule>
  </conditionalFormatting>
  <conditionalFormatting sqref="AA68">
    <cfRule type="cellIs" dxfId="99" priority="1" operator="notEqual">
      <formula>$O$82</formula>
    </cfRule>
  </conditionalFormatting>
  <conditionalFormatting sqref="AB1:AB1048576">
    <cfRule type="containsText" dxfId="98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29" man="1"/>
  </rowBreaks>
  <colBreaks count="6" manualBreakCount="6">
    <brk id="6" max="88" man="1"/>
    <brk id="10" max="1048575" man="1"/>
    <brk id="16" max="88" man="1"/>
    <brk id="18" max="1048575" man="1"/>
    <brk id="27" max="1048575" man="1"/>
    <brk id="29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8.8867187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21875" style="50" customWidth="1"/>
    <col min="19" max="19" width="6.109375" style="39" customWidth="1"/>
    <col min="20" max="20" width="31.5546875" style="39" customWidth="1"/>
    <col min="21" max="21" width="17.77734375" style="219" customWidth="1"/>
    <col min="22" max="27" width="18.88671875" style="39" customWidth="1"/>
    <col min="28" max="28" width="24.3320312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220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38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220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220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195" t="s">
        <v>35</v>
      </c>
      <c r="H6" s="196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221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197">
        <f>S12</f>
        <v>1</v>
      </c>
      <c r="H7" s="198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197">
        <f t="shared" ref="G8:I23" si="0">S13</f>
        <v>2</v>
      </c>
      <c r="H8" s="198" t="str">
        <f t="shared" si="0"/>
        <v>General Contract</v>
      </c>
      <c r="I8" s="247">
        <f t="shared" si="0"/>
        <v>0</v>
      </c>
      <c r="K8" s="152"/>
      <c r="L8" s="157"/>
      <c r="M8" s="157"/>
      <c r="N8" s="154"/>
      <c r="O8" s="155"/>
      <c r="P8" s="158"/>
      <c r="S8" s="66"/>
      <c r="T8" s="67"/>
      <c r="U8" s="222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197">
        <f t="shared" si="0"/>
        <v>3</v>
      </c>
      <c r="H9" s="198" t="str">
        <f t="shared" si="0"/>
        <v>Architect Contract</v>
      </c>
      <c r="I9" s="247">
        <f t="shared" si="0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23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38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197">
        <f t="shared" si="0"/>
        <v>4</v>
      </c>
      <c r="H10" s="198" t="str">
        <f t="shared" si="0"/>
        <v>Architect Reimbursables</v>
      </c>
      <c r="I10" s="247">
        <f t="shared" si="0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197">
        <f t="shared" si="0"/>
        <v>5</v>
      </c>
      <c r="H11" s="198" t="str">
        <f t="shared" si="0"/>
        <v>Other Contracts</v>
      </c>
      <c r="I11" s="247">
        <f t="shared" si="0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218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197">
        <f t="shared" si="0"/>
        <v>6</v>
      </c>
      <c r="H12" s="198" t="str">
        <f t="shared" si="0"/>
        <v>Other Contracts</v>
      </c>
      <c r="I12" s="247">
        <f t="shared" si="0"/>
        <v>0</v>
      </c>
      <c r="K12" s="152"/>
      <c r="L12" s="157"/>
      <c r="M12" s="157"/>
      <c r="N12" s="154"/>
      <c r="O12" s="155"/>
      <c r="P12" s="158"/>
      <c r="R12" s="50" t="str">
        <f>IF(V12='Request #37'!V12,"OK","Send in Change Order")</f>
        <v>OK</v>
      </c>
      <c r="S12" s="85">
        <v>1</v>
      </c>
      <c r="T12" s="86" t="str">
        <f>'Request #35'!T12</f>
        <v>Land/Site Grading &amp; Improv.</v>
      </c>
      <c r="U12" s="218">
        <f>'Request #37'!U12</f>
        <v>0</v>
      </c>
      <c r="V12" s="87">
        <f>'Request #37'!V12</f>
        <v>0</v>
      </c>
      <c r="W12" s="88">
        <f>SUMIF(F7:F79,1,E7:E79)</f>
        <v>0</v>
      </c>
      <c r="X12" s="88">
        <f>'Request #37'!Y12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#37'!AA12,"OK","Alert,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197">
        <f t="shared" si="0"/>
        <v>7</v>
      </c>
      <c r="H13" s="198" t="str">
        <f t="shared" si="0"/>
        <v>Other Contracts</v>
      </c>
      <c r="I13" s="247">
        <f t="shared" si="0"/>
        <v>0</v>
      </c>
      <c r="K13" s="152"/>
      <c r="L13" s="157"/>
      <c r="M13" s="157"/>
      <c r="N13" s="154"/>
      <c r="O13" s="155"/>
      <c r="P13" s="158"/>
      <c r="R13" s="50" t="str">
        <f>IF(V13='Request #37'!V13,"OK","Send in Change Order")</f>
        <v>OK</v>
      </c>
      <c r="S13" s="85">
        <v>2</v>
      </c>
      <c r="T13" s="86" t="s">
        <v>122</v>
      </c>
      <c r="U13" s="218">
        <f>'Request #37'!U13</f>
        <v>0</v>
      </c>
      <c r="V13" s="87">
        <f>'Request #37'!V13</f>
        <v>0</v>
      </c>
      <c r="W13" s="88">
        <f>SUMIF(F7:F79,2,E7:E79)</f>
        <v>0</v>
      </c>
      <c r="X13" s="88">
        <f>'Request #37'!Y13</f>
        <v>0</v>
      </c>
      <c r="Y13" s="88">
        <f t="shared" ref="Y13:Y67" si="1">W13+X13</f>
        <v>0</v>
      </c>
      <c r="Z13" s="88">
        <f t="shared" ref="Z13:Z67" si="2">V13-Y13</f>
        <v>0</v>
      </c>
      <c r="AA13" s="88">
        <f>SUMIF(P7:P79,2,O7:O79)</f>
        <v>0</v>
      </c>
      <c r="AB13" s="50" t="str">
        <f>IF(W13&gt;='Request #37'!AA13,"OK","Alert,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197">
        <f t="shared" si="0"/>
        <v>8</v>
      </c>
      <c r="H14" s="198" t="str">
        <f t="shared" si="0"/>
        <v>Other Contracts</v>
      </c>
      <c r="I14" s="247">
        <f t="shared" si="0"/>
        <v>0</v>
      </c>
      <c r="K14" s="159"/>
      <c r="L14" s="157"/>
      <c r="M14" s="157"/>
      <c r="N14" s="154"/>
      <c r="O14" s="155"/>
      <c r="P14" s="158"/>
      <c r="R14" s="50" t="str">
        <f>IF(V14='Request #37'!V14,"OK","Send in Change Order")</f>
        <v>OK</v>
      </c>
      <c r="S14" s="85">
        <v>3</v>
      </c>
      <c r="T14" s="86" t="s">
        <v>123</v>
      </c>
      <c r="U14" s="218">
        <f>'Request #37'!U14</f>
        <v>0</v>
      </c>
      <c r="V14" s="87">
        <f>'Request #37'!V14</f>
        <v>0</v>
      </c>
      <c r="W14" s="88">
        <f>SUMIF(F7:F79,3,E7:E79)</f>
        <v>0</v>
      </c>
      <c r="X14" s="88">
        <f>'Request #37'!Y14</f>
        <v>0</v>
      </c>
      <c r="Y14" s="88">
        <f t="shared" si="1"/>
        <v>0</v>
      </c>
      <c r="Z14" s="88">
        <f t="shared" si="2"/>
        <v>0</v>
      </c>
      <c r="AA14" s="88">
        <f>SUMIF(P7:P79,3,O7:O79)</f>
        <v>0</v>
      </c>
      <c r="AB14" s="50" t="str">
        <f>IF(W14&gt;='Request #37'!AA14,"OK","Alert,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197">
        <f t="shared" si="0"/>
        <v>9</v>
      </c>
      <c r="H15" s="198" t="str">
        <f t="shared" si="0"/>
        <v>Other Contracts</v>
      </c>
      <c r="I15" s="247">
        <f t="shared" si="0"/>
        <v>0</v>
      </c>
      <c r="K15" s="159"/>
      <c r="L15" s="157"/>
      <c r="M15" s="157"/>
      <c r="N15" s="154"/>
      <c r="O15" s="155"/>
      <c r="P15" s="158"/>
      <c r="R15" s="50" t="str">
        <f>IF(V15='Request #37'!V15,"OK","Send in Change Order")</f>
        <v>OK</v>
      </c>
      <c r="S15" s="85">
        <v>4</v>
      </c>
      <c r="T15" s="86" t="s">
        <v>124</v>
      </c>
      <c r="U15" s="218">
        <f>'Request #37'!U15</f>
        <v>0</v>
      </c>
      <c r="V15" s="87">
        <f>'Request #37'!V15</f>
        <v>0</v>
      </c>
      <c r="W15" s="88">
        <f>SUMIF(F7:F79,4,E7:E79)</f>
        <v>0</v>
      </c>
      <c r="X15" s="88">
        <f>'Request #37'!Y15</f>
        <v>0</v>
      </c>
      <c r="Y15" s="88">
        <f t="shared" si="1"/>
        <v>0</v>
      </c>
      <c r="Z15" s="88">
        <f t="shared" si="2"/>
        <v>0</v>
      </c>
      <c r="AA15" s="88">
        <f>SUMIF(P7:P79,4,O7:O79)</f>
        <v>0</v>
      </c>
      <c r="AB15" s="50" t="str">
        <f>IF(W15&gt;='Request #37'!AA15,"OK","Alert,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197">
        <f t="shared" si="0"/>
        <v>10</v>
      </c>
      <c r="H16" s="198" t="str">
        <f t="shared" si="0"/>
        <v>Other Contracts</v>
      </c>
      <c r="I16" s="247">
        <f t="shared" si="0"/>
        <v>0</v>
      </c>
      <c r="K16" s="152"/>
      <c r="L16" s="157"/>
      <c r="M16" s="157"/>
      <c r="N16" s="154"/>
      <c r="O16" s="155"/>
      <c r="P16" s="158"/>
      <c r="R16" s="50" t="str">
        <f>IF(V16='Request #37'!V16,"OK","Send in Change Order")</f>
        <v>OK</v>
      </c>
      <c r="S16" s="85">
        <v>5</v>
      </c>
      <c r="T16" s="86" t="s">
        <v>71</v>
      </c>
      <c r="U16" s="218">
        <f>'Request #37'!U16</f>
        <v>0</v>
      </c>
      <c r="V16" s="87">
        <f>'Request #37'!V16</f>
        <v>0</v>
      </c>
      <c r="W16" s="88">
        <f>SUMIF(F7:F79,5,E7:E79)</f>
        <v>0</v>
      </c>
      <c r="X16" s="88">
        <f>'Request #37'!Y16</f>
        <v>0</v>
      </c>
      <c r="Y16" s="88">
        <f t="shared" si="1"/>
        <v>0</v>
      </c>
      <c r="Z16" s="88">
        <f t="shared" si="2"/>
        <v>0</v>
      </c>
      <c r="AA16" s="88">
        <f>SUMIF(P7:P79,5,O7:O79)</f>
        <v>0</v>
      </c>
      <c r="AB16" s="50" t="str">
        <f>IF(W16&gt;='Request #37'!AA16,"OK","Alert,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197">
        <f t="shared" si="0"/>
        <v>11</v>
      </c>
      <c r="H17" s="198" t="str">
        <f t="shared" si="0"/>
        <v>Other Contracts</v>
      </c>
      <c r="I17" s="247">
        <f t="shared" si="0"/>
        <v>0</v>
      </c>
      <c r="K17" s="152"/>
      <c r="L17" s="157"/>
      <c r="M17" s="157"/>
      <c r="N17" s="154"/>
      <c r="O17" s="155"/>
      <c r="P17" s="158"/>
      <c r="R17" s="50" t="str">
        <f>IF(V17='Request #37'!V17,"OK","Send in Change Order")</f>
        <v>OK</v>
      </c>
      <c r="S17" s="85">
        <v>6</v>
      </c>
      <c r="T17" s="86" t="s">
        <v>71</v>
      </c>
      <c r="U17" s="218">
        <f>'Request #37'!U17</f>
        <v>0</v>
      </c>
      <c r="V17" s="87">
        <f>'Request #37'!V17</f>
        <v>0</v>
      </c>
      <c r="W17" s="88">
        <f>SUMIF(F7:F79,6,E7:E79)</f>
        <v>0</v>
      </c>
      <c r="X17" s="88">
        <f>'Request #37'!Y17</f>
        <v>0</v>
      </c>
      <c r="Y17" s="88">
        <f t="shared" si="1"/>
        <v>0</v>
      </c>
      <c r="Z17" s="88">
        <f t="shared" si="2"/>
        <v>0</v>
      </c>
      <c r="AA17" s="88">
        <f>SUMIF(P7:P79,6,O7:O79)</f>
        <v>0</v>
      </c>
      <c r="AB17" s="50" t="str">
        <f>IF(W17&gt;='Request #37'!AA17,"OK","Alert,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197">
        <f t="shared" si="0"/>
        <v>12</v>
      </c>
      <c r="H18" s="198" t="str">
        <f t="shared" si="0"/>
        <v>Other Contracts</v>
      </c>
      <c r="I18" s="247">
        <f t="shared" si="0"/>
        <v>0</v>
      </c>
      <c r="K18" s="152"/>
      <c r="L18" s="157"/>
      <c r="M18" s="157"/>
      <c r="N18" s="154"/>
      <c r="O18" s="155"/>
      <c r="P18" s="158"/>
      <c r="R18" s="50" t="str">
        <f>IF(V18='Request #37'!V18,"OK","Send in Change Order")</f>
        <v>OK</v>
      </c>
      <c r="S18" s="85">
        <v>7</v>
      </c>
      <c r="T18" s="86" t="s">
        <v>71</v>
      </c>
      <c r="U18" s="218">
        <f>'Request #37'!U18</f>
        <v>0</v>
      </c>
      <c r="V18" s="87">
        <f>'Request #37'!V18</f>
        <v>0</v>
      </c>
      <c r="W18" s="88">
        <f>SUMIF(F7:F79,7,E7:E79)</f>
        <v>0</v>
      </c>
      <c r="X18" s="88">
        <f>'Request #37'!Y18</f>
        <v>0</v>
      </c>
      <c r="Y18" s="88">
        <f t="shared" si="1"/>
        <v>0</v>
      </c>
      <c r="Z18" s="88">
        <f t="shared" si="2"/>
        <v>0</v>
      </c>
      <c r="AA18" s="88">
        <f>SUMIF(P7:P79,7,O7:O79)</f>
        <v>0</v>
      </c>
      <c r="AB18" s="50" t="str">
        <f>IF(W18&gt;='Request #37'!AA18,"OK","Alert,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197">
        <f t="shared" si="0"/>
        <v>13</v>
      </c>
      <c r="H19" s="198" t="str">
        <f t="shared" si="0"/>
        <v>Other Contracts</v>
      </c>
      <c r="I19" s="247">
        <f t="shared" si="0"/>
        <v>0</v>
      </c>
      <c r="K19" s="159"/>
      <c r="L19" s="157"/>
      <c r="M19" s="157"/>
      <c r="N19" s="154"/>
      <c r="O19" s="155"/>
      <c r="P19" s="158"/>
      <c r="R19" s="50" t="str">
        <f>IF(V19='Request #37'!V19,"OK","Send in Change Order")</f>
        <v>OK</v>
      </c>
      <c r="S19" s="85">
        <v>8</v>
      </c>
      <c r="T19" s="86" t="s">
        <v>71</v>
      </c>
      <c r="U19" s="218">
        <f>'Request #37'!U19</f>
        <v>0</v>
      </c>
      <c r="V19" s="87">
        <f>'Request #37'!V19</f>
        <v>0</v>
      </c>
      <c r="W19" s="88">
        <f>SUMIF(F7:F79,8,E7:E79)</f>
        <v>0</v>
      </c>
      <c r="X19" s="88">
        <f>'Request #37'!Y19</f>
        <v>0</v>
      </c>
      <c r="Y19" s="88">
        <f t="shared" si="1"/>
        <v>0</v>
      </c>
      <c r="Z19" s="88">
        <f t="shared" si="2"/>
        <v>0</v>
      </c>
      <c r="AA19" s="88">
        <f>SUMIF(P7:P79,8,O7:O79)</f>
        <v>0</v>
      </c>
      <c r="AB19" s="50" t="str">
        <f>IF(W19&gt;='Request #37'!AA19,"OK","Alert,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197">
        <f t="shared" si="0"/>
        <v>14</v>
      </c>
      <c r="H20" s="198" t="str">
        <f t="shared" si="0"/>
        <v>Other Contracts</v>
      </c>
      <c r="I20" s="247">
        <f t="shared" si="0"/>
        <v>0</v>
      </c>
      <c r="K20" s="152"/>
      <c r="L20" s="157"/>
      <c r="M20" s="157"/>
      <c r="N20" s="154"/>
      <c r="O20" s="155"/>
      <c r="P20" s="158"/>
      <c r="R20" s="50" t="str">
        <f>IF(V20='Request #37'!V20,"OK","Send in Change Order")</f>
        <v>OK</v>
      </c>
      <c r="S20" s="85">
        <v>9</v>
      </c>
      <c r="T20" s="86" t="s">
        <v>71</v>
      </c>
      <c r="U20" s="218">
        <f>'Request #37'!U20</f>
        <v>0</v>
      </c>
      <c r="V20" s="87">
        <f>'Request #37'!V20</f>
        <v>0</v>
      </c>
      <c r="W20" s="88">
        <f>SUMIF(F7:F79,9,E7:E79)</f>
        <v>0</v>
      </c>
      <c r="X20" s="88">
        <f>'Request #37'!Y20</f>
        <v>0</v>
      </c>
      <c r="Y20" s="88">
        <f t="shared" si="1"/>
        <v>0</v>
      </c>
      <c r="Z20" s="88">
        <f t="shared" si="2"/>
        <v>0</v>
      </c>
      <c r="AA20" s="88">
        <f>SUMIF(P7:P79,9,O7:O79)</f>
        <v>0</v>
      </c>
      <c r="AB20" s="50" t="str">
        <f>IF(W20&gt;='Request #37'!AA20,"OK","Alert,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197">
        <f t="shared" si="0"/>
        <v>15</v>
      </c>
      <c r="H21" s="198" t="str">
        <f t="shared" si="0"/>
        <v>Other Contracts</v>
      </c>
      <c r="I21" s="247">
        <f t="shared" si="0"/>
        <v>0</v>
      </c>
      <c r="K21" s="159"/>
      <c r="L21" s="157"/>
      <c r="M21" s="157"/>
      <c r="N21" s="154"/>
      <c r="O21" s="155"/>
      <c r="P21" s="158"/>
      <c r="R21" s="50" t="str">
        <f>IF(V21='Request #37'!V21,"OK","Send in Change Order")</f>
        <v>OK</v>
      </c>
      <c r="S21" s="85">
        <v>10</v>
      </c>
      <c r="T21" s="86" t="s">
        <v>71</v>
      </c>
      <c r="U21" s="218">
        <f>'Request #37'!U21</f>
        <v>0</v>
      </c>
      <c r="V21" s="87">
        <f>'Request #37'!V21</f>
        <v>0</v>
      </c>
      <c r="W21" s="88">
        <f>SUMIF(F7:F79,10,E7:E79)</f>
        <v>0</v>
      </c>
      <c r="X21" s="88">
        <f>'Request #37'!Y21</f>
        <v>0</v>
      </c>
      <c r="Y21" s="88">
        <f t="shared" si="1"/>
        <v>0</v>
      </c>
      <c r="Z21" s="88">
        <f t="shared" si="2"/>
        <v>0</v>
      </c>
      <c r="AA21" s="88">
        <f>SUMIF(P7:P79,10,O7:O79)</f>
        <v>0</v>
      </c>
      <c r="AB21" s="50" t="str">
        <f>IF(W21&gt;='Request #37'!AA21,"OK","Alert,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197">
        <f t="shared" si="0"/>
        <v>16</v>
      </c>
      <c r="H22" s="198" t="str">
        <f t="shared" si="0"/>
        <v>Other Contracts</v>
      </c>
      <c r="I22" s="247">
        <f t="shared" si="0"/>
        <v>0</v>
      </c>
      <c r="K22" s="159"/>
      <c r="L22" s="157"/>
      <c r="M22" s="157"/>
      <c r="N22" s="154"/>
      <c r="O22" s="155"/>
      <c r="P22" s="158"/>
      <c r="R22" s="50" t="str">
        <f>IF(V22='Request #37'!V22,"OK","Send in Change Order")</f>
        <v>OK</v>
      </c>
      <c r="S22" s="85">
        <v>11</v>
      </c>
      <c r="T22" s="86" t="s">
        <v>71</v>
      </c>
      <c r="U22" s="218">
        <f>'Request #37'!U22</f>
        <v>0</v>
      </c>
      <c r="V22" s="87">
        <f>'Request #37'!V22</f>
        <v>0</v>
      </c>
      <c r="W22" s="88">
        <f>SUMIF(F7:F79,11,E7:E79)</f>
        <v>0</v>
      </c>
      <c r="X22" s="88">
        <f>'Request #37'!Y22</f>
        <v>0</v>
      </c>
      <c r="Y22" s="88">
        <f t="shared" si="1"/>
        <v>0</v>
      </c>
      <c r="Z22" s="88">
        <f t="shared" si="2"/>
        <v>0</v>
      </c>
      <c r="AA22" s="88">
        <f>SUMIF(P7:P79,11,O7:O79)</f>
        <v>0</v>
      </c>
      <c r="AB22" s="50" t="str">
        <f>IF(W22&gt;='Request #37'!AA22,"OK","Alert,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197">
        <f t="shared" si="0"/>
        <v>17</v>
      </c>
      <c r="H23" s="198" t="str">
        <f t="shared" si="0"/>
        <v>Other Contracts</v>
      </c>
      <c r="I23" s="247">
        <f t="shared" si="0"/>
        <v>0</v>
      </c>
      <c r="K23" s="159"/>
      <c r="L23" s="157"/>
      <c r="M23" s="157"/>
      <c r="N23" s="154"/>
      <c r="O23" s="155"/>
      <c r="P23" s="158"/>
      <c r="R23" s="50" t="str">
        <f>IF(V23='Request #37'!V23,"OK","Send in Change Order")</f>
        <v>OK</v>
      </c>
      <c r="S23" s="85">
        <v>12</v>
      </c>
      <c r="T23" s="86" t="s">
        <v>71</v>
      </c>
      <c r="U23" s="218">
        <f>'Request #37'!U23</f>
        <v>0</v>
      </c>
      <c r="V23" s="87">
        <f>'Request #37'!V23</f>
        <v>0</v>
      </c>
      <c r="W23" s="88">
        <f>SUMIF(F7:F79,12,E7:E79)</f>
        <v>0</v>
      </c>
      <c r="X23" s="88">
        <f>'Request #37'!Y23</f>
        <v>0</v>
      </c>
      <c r="Y23" s="88">
        <f t="shared" si="1"/>
        <v>0</v>
      </c>
      <c r="Z23" s="88">
        <f t="shared" si="2"/>
        <v>0</v>
      </c>
      <c r="AA23" s="88">
        <f>SUMIF(P7:P79,12,O7:O79)</f>
        <v>0</v>
      </c>
      <c r="AB23" s="50" t="str">
        <f>IF(W23&gt;='Request #37'!AA23,"OK","Alert,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197">
        <f t="shared" ref="G24:I39" si="3">S29</f>
        <v>18</v>
      </c>
      <c r="H24" s="198" t="str">
        <f t="shared" si="3"/>
        <v>Other Contracts</v>
      </c>
      <c r="I24" s="247">
        <f t="shared" si="3"/>
        <v>0</v>
      </c>
      <c r="K24" s="159"/>
      <c r="L24" s="157"/>
      <c r="M24" s="157"/>
      <c r="N24" s="154"/>
      <c r="O24" s="155"/>
      <c r="P24" s="158"/>
      <c r="R24" s="50" t="str">
        <f>IF(V24='Request #37'!V24,"OK","Send in Change Order")</f>
        <v>OK</v>
      </c>
      <c r="S24" s="85">
        <v>13</v>
      </c>
      <c r="T24" s="86" t="s">
        <v>71</v>
      </c>
      <c r="U24" s="218">
        <f>'Request #37'!U24</f>
        <v>0</v>
      </c>
      <c r="V24" s="87">
        <f>'Request #37'!V24</f>
        <v>0</v>
      </c>
      <c r="W24" s="88">
        <f>SUMIF(F7:F79,13,E7:E79)</f>
        <v>0</v>
      </c>
      <c r="X24" s="88">
        <f>'Request #37'!Y24</f>
        <v>0</v>
      </c>
      <c r="Y24" s="88">
        <f t="shared" si="1"/>
        <v>0</v>
      </c>
      <c r="Z24" s="88">
        <f t="shared" si="2"/>
        <v>0</v>
      </c>
      <c r="AA24" s="88">
        <f>SUMIF(P7:P79,13,O7:O79)</f>
        <v>0</v>
      </c>
      <c r="AB24" s="50" t="str">
        <f>IF(W24&gt;='Request #37'!AA24,"OK","Alert,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197">
        <f t="shared" si="3"/>
        <v>19</v>
      </c>
      <c r="H25" s="198" t="str">
        <f t="shared" si="3"/>
        <v>Other Contracts</v>
      </c>
      <c r="I25" s="247">
        <f t="shared" si="3"/>
        <v>0</v>
      </c>
      <c r="K25" s="159"/>
      <c r="L25" s="157"/>
      <c r="M25" s="157"/>
      <c r="N25" s="154"/>
      <c r="O25" s="155"/>
      <c r="P25" s="158"/>
      <c r="R25" s="50" t="str">
        <f>IF(V25='Request #37'!V25,"OK","Send in Change Order")</f>
        <v>OK</v>
      </c>
      <c r="S25" s="85">
        <v>14</v>
      </c>
      <c r="T25" s="86" t="s">
        <v>71</v>
      </c>
      <c r="U25" s="218">
        <f>'Request #37'!U25</f>
        <v>0</v>
      </c>
      <c r="V25" s="87">
        <f>'Request #37'!V25</f>
        <v>0</v>
      </c>
      <c r="W25" s="88">
        <f>SUMIF(F7:F79,14,E7:E79)</f>
        <v>0</v>
      </c>
      <c r="X25" s="88">
        <f>'Request #37'!Y25</f>
        <v>0</v>
      </c>
      <c r="Y25" s="88">
        <f t="shared" si="1"/>
        <v>0</v>
      </c>
      <c r="Z25" s="88">
        <f t="shared" si="2"/>
        <v>0</v>
      </c>
      <c r="AA25" s="88">
        <f>SUMIF(P7:P79,14,O7:O79)</f>
        <v>0</v>
      </c>
      <c r="AB25" s="50" t="str">
        <f>IF(W25&gt;='Request #37'!AA25,"OK","Alert,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197">
        <f t="shared" si="3"/>
        <v>20</v>
      </c>
      <c r="H26" s="198" t="str">
        <f t="shared" si="3"/>
        <v>Other Contracts</v>
      </c>
      <c r="I26" s="247">
        <f t="shared" si="3"/>
        <v>0</v>
      </c>
      <c r="K26" s="159"/>
      <c r="L26" s="157"/>
      <c r="M26" s="157"/>
      <c r="N26" s="154"/>
      <c r="O26" s="155"/>
      <c r="P26" s="158"/>
      <c r="R26" s="50" t="str">
        <f>IF(V26='Request #37'!V26,"OK","Send in Change Order")</f>
        <v>OK</v>
      </c>
      <c r="S26" s="85">
        <v>15</v>
      </c>
      <c r="T26" s="86" t="s">
        <v>71</v>
      </c>
      <c r="U26" s="218">
        <f>'Request #37'!U26</f>
        <v>0</v>
      </c>
      <c r="V26" s="87">
        <f>'Request #37'!V26</f>
        <v>0</v>
      </c>
      <c r="W26" s="88">
        <f>SUMIF(F7:F79,15,E7:E79)</f>
        <v>0</v>
      </c>
      <c r="X26" s="88">
        <f>'Request #37'!Y26</f>
        <v>0</v>
      </c>
      <c r="Y26" s="88">
        <f t="shared" si="1"/>
        <v>0</v>
      </c>
      <c r="Z26" s="88">
        <f t="shared" si="2"/>
        <v>0</v>
      </c>
      <c r="AA26" s="88">
        <f>SUMIF(P7:P79,15,O7:O79)</f>
        <v>0</v>
      </c>
      <c r="AB26" s="50" t="str">
        <f>IF(W26&gt;='Request #37'!AA26,"OK","Alert,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197">
        <f t="shared" si="3"/>
        <v>21</v>
      </c>
      <c r="H27" s="198" t="str">
        <f t="shared" si="3"/>
        <v>Other Contracts</v>
      </c>
      <c r="I27" s="247">
        <f t="shared" si="3"/>
        <v>0</v>
      </c>
      <c r="K27" s="159"/>
      <c r="L27" s="157"/>
      <c r="M27" s="157"/>
      <c r="N27" s="154"/>
      <c r="O27" s="155"/>
      <c r="P27" s="158"/>
      <c r="R27" s="50" t="str">
        <f>IF(V27='Request #37'!V27,"OK","Send in Change Order")</f>
        <v>OK</v>
      </c>
      <c r="S27" s="85">
        <v>16</v>
      </c>
      <c r="T27" s="86" t="s">
        <v>71</v>
      </c>
      <c r="U27" s="218">
        <f>'Request #37'!U27</f>
        <v>0</v>
      </c>
      <c r="V27" s="87">
        <f>'Request #37'!V27</f>
        <v>0</v>
      </c>
      <c r="W27" s="88">
        <f>SUMIF(F7:F79,16,E7:E79)</f>
        <v>0</v>
      </c>
      <c r="X27" s="88">
        <f>'Request #37'!Y27</f>
        <v>0</v>
      </c>
      <c r="Y27" s="88">
        <f t="shared" si="1"/>
        <v>0</v>
      </c>
      <c r="Z27" s="88">
        <f t="shared" si="2"/>
        <v>0</v>
      </c>
      <c r="AA27" s="88">
        <f>SUMIF(P7:P79,16,O7:O79)</f>
        <v>0</v>
      </c>
      <c r="AB27" s="50" t="str">
        <f>IF(W27&gt;='Request #37'!AA27,"OK","Alert,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197">
        <f t="shared" si="3"/>
        <v>22</v>
      </c>
      <c r="H28" s="198" t="str">
        <f t="shared" si="3"/>
        <v>Other Contracts</v>
      </c>
      <c r="I28" s="247">
        <f t="shared" si="3"/>
        <v>0</v>
      </c>
      <c r="K28" s="159"/>
      <c r="L28" s="157"/>
      <c r="M28" s="157"/>
      <c r="N28" s="154"/>
      <c r="O28" s="155"/>
      <c r="P28" s="158"/>
      <c r="R28" s="50" t="str">
        <f>IF(V28='Request #37'!V28,"OK","Send in Change Order")</f>
        <v>OK</v>
      </c>
      <c r="S28" s="85">
        <v>17</v>
      </c>
      <c r="T28" s="86" t="s">
        <v>71</v>
      </c>
      <c r="U28" s="218">
        <f>'Request #37'!U28</f>
        <v>0</v>
      </c>
      <c r="V28" s="87">
        <f>'Request #37'!V28</f>
        <v>0</v>
      </c>
      <c r="W28" s="88">
        <f>SUMIF(F7:F79,17,E7:E79)</f>
        <v>0</v>
      </c>
      <c r="X28" s="88">
        <f>'Request #37'!Y28</f>
        <v>0</v>
      </c>
      <c r="Y28" s="88">
        <f t="shared" si="1"/>
        <v>0</v>
      </c>
      <c r="Z28" s="88">
        <f t="shared" si="2"/>
        <v>0</v>
      </c>
      <c r="AA28" s="88">
        <f>SUMIF(P7:P79,17,O7:O79)</f>
        <v>0</v>
      </c>
      <c r="AB28" s="50" t="str">
        <f>IF(W28&gt;='Request #37'!AA28,"OK","Alert,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197">
        <f t="shared" si="3"/>
        <v>23</v>
      </c>
      <c r="H29" s="198" t="str">
        <f t="shared" si="3"/>
        <v>Other Contracts</v>
      </c>
      <c r="I29" s="247">
        <f t="shared" si="3"/>
        <v>0</v>
      </c>
      <c r="K29" s="159"/>
      <c r="L29" s="157"/>
      <c r="M29" s="157"/>
      <c r="N29" s="154"/>
      <c r="O29" s="155"/>
      <c r="P29" s="158"/>
      <c r="R29" s="50" t="str">
        <f>IF(V29='Request #37'!V29,"OK","Send in Change Order")</f>
        <v>OK</v>
      </c>
      <c r="S29" s="85">
        <v>18</v>
      </c>
      <c r="T29" s="86" t="s">
        <v>71</v>
      </c>
      <c r="U29" s="218">
        <f>'Request #37'!U29</f>
        <v>0</v>
      </c>
      <c r="V29" s="87">
        <f>'Request #37'!V29</f>
        <v>0</v>
      </c>
      <c r="W29" s="88">
        <f>SUMIF(F7:F79,18,E7:E79)</f>
        <v>0</v>
      </c>
      <c r="X29" s="88">
        <f>'Request #37'!Y29</f>
        <v>0</v>
      </c>
      <c r="Y29" s="88">
        <f t="shared" si="1"/>
        <v>0</v>
      </c>
      <c r="Z29" s="88">
        <f t="shared" si="2"/>
        <v>0</v>
      </c>
      <c r="AA29" s="88">
        <f>SUMIF(P7:P79,18,O7:O79)</f>
        <v>0</v>
      </c>
      <c r="AB29" s="50" t="str">
        <f>IF(W29&gt;='Request #37'!AA29,"OK","Alert,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197">
        <f t="shared" si="3"/>
        <v>24</v>
      </c>
      <c r="H30" s="198" t="str">
        <f t="shared" si="3"/>
        <v>Other Contracts</v>
      </c>
      <c r="I30" s="247">
        <f t="shared" si="3"/>
        <v>0</v>
      </c>
      <c r="K30" s="159"/>
      <c r="L30" s="157"/>
      <c r="M30" s="157"/>
      <c r="N30" s="154"/>
      <c r="O30" s="155"/>
      <c r="P30" s="158"/>
      <c r="R30" s="50" t="str">
        <f>IF(V30='Request #37'!V30,"OK","Send in Change Order")</f>
        <v>OK</v>
      </c>
      <c r="S30" s="85">
        <v>19</v>
      </c>
      <c r="T30" s="86" t="s">
        <v>71</v>
      </c>
      <c r="U30" s="218">
        <f>'Request #37'!U30</f>
        <v>0</v>
      </c>
      <c r="V30" s="87">
        <f>'Request #37'!V30</f>
        <v>0</v>
      </c>
      <c r="W30" s="88">
        <f>SUMIF(F7:F79,19,E7:E79)</f>
        <v>0</v>
      </c>
      <c r="X30" s="88">
        <f>'Request #37'!Y30</f>
        <v>0</v>
      </c>
      <c r="Y30" s="88">
        <f t="shared" si="1"/>
        <v>0</v>
      </c>
      <c r="Z30" s="88">
        <f t="shared" si="2"/>
        <v>0</v>
      </c>
      <c r="AA30" s="88">
        <f>SUMIF(P7:P79,19,O7:O79)</f>
        <v>0</v>
      </c>
      <c r="AB30" s="50" t="str">
        <f>IF(W30&gt;='Request #37'!AA30,"OK","Alert,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197">
        <f t="shared" si="3"/>
        <v>25</v>
      </c>
      <c r="H31" s="198" t="str">
        <f t="shared" si="3"/>
        <v>Other Contracts</v>
      </c>
      <c r="I31" s="247">
        <f t="shared" si="3"/>
        <v>0</v>
      </c>
      <c r="K31" s="159"/>
      <c r="L31" s="157"/>
      <c r="M31" s="157"/>
      <c r="N31" s="154"/>
      <c r="O31" s="155"/>
      <c r="P31" s="158"/>
      <c r="R31" s="50" t="str">
        <f>IF(V31='Request #37'!V31,"OK","Send in Change Order")</f>
        <v>OK</v>
      </c>
      <c r="S31" s="85">
        <v>20</v>
      </c>
      <c r="T31" s="86" t="s">
        <v>71</v>
      </c>
      <c r="U31" s="218">
        <f>'Request #37'!U31</f>
        <v>0</v>
      </c>
      <c r="V31" s="87">
        <f>'Request #37'!V31</f>
        <v>0</v>
      </c>
      <c r="W31" s="88">
        <f>SUMIF(F7:F79,20,E7:E79)</f>
        <v>0</v>
      </c>
      <c r="X31" s="88">
        <f>'Request #37'!Y31</f>
        <v>0</v>
      </c>
      <c r="Y31" s="88">
        <f t="shared" si="1"/>
        <v>0</v>
      </c>
      <c r="Z31" s="88">
        <f t="shared" si="2"/>
        <v>0</v>
      </c>
      <c r="AA31" s="88">
        <f>SUMIF(P7:P79,20,O7:O79)</f>
        <v>0</v>
      </c>
      <c r="AB31" s="50" t="str">
        <f>IF(W31&gt;='Request #37'!AA31,"OK","Alert,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197">
        <f t="shared" si="3"/>
        <v>26</v>
      </c>
      <c r="H32" s="198" t="str">
        <f t="shared" si="3"/>
        <v>Other Fees</v>
      </c>
      <c r="I32" s="247">
        <f t="shared" si="3"/>
        <v>0</v>
      </c>
      <c r="K32" s="159"/>
      <c r="L32" s="157"/>
      <c r="M32" s="157"/>
      <c r="N32" s="154"/>
      <c r="O32" s="155"/>
      <c r="P32" s="158"/>
      <c r="R32" s="50" t="str">
        <f>IF(V32='Request #37'!V32,"OK","Send in Change Order")</f>
        <v>OK</v>
      </c>
      <c r="S32" s="85">
        <v>21</v>
      </c>
      <c r="T32" s="86" t="s">
        <v>71</v>
      </c>
      <c r="U32" s="218">
        <f>'Request #37'!U32</f>
        <v>0</v>
      </c>
      <c r="V32" s="87">
        <f>'Request #37'!V32</f>
        <v>0</v>
      </c>
      <c r="W32" s="88">
        <f>SUMIF(F7:F79,21,E7:E79)</f>
        <v>0</v>
      </c>
      <c r="X32" s="88">
        <f>'Request #37'!Y32</f>
        <v>0</v>
      </c>
      <c r="Y32" s="88">
        <f t="shared" si="1"/>
        <v>0</v>
      </c>
      <c r="Z32" s="88">
        <f t="shared" si="2"/>
        <v>0</v>
      </c>
      <c r="AA32" s="88">
        <f>SUMIF(P7:P79,21,O7:O79)</f>
        <v>0</v>
      </c>
      <c r="AB32" s="50" t="str">
        <f>IF(W32&gt;='Request #37'!AA32,"OK","Alert,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197">
        <f t="shared" si="3"/>
        <v>27</v>
      </c>
      <c r="H33" s="198" t="str">
        <f t="shared" si="3"/>
        <v>Other Fees</v>
      </c>
      <c r="I33" s="247">
        <f t="shared" si="3"/>
        <v>0</v>
      </c>
      <c r="K33" s="159"/>
      <c r="L33" s="157"/>
      <c r="M33" s="157"/>
      <c r="N33" s="154"/>
      <c r="O33" s="155"/>
      <c r="P33" s="158"/>
      <c r="R33" s="50" t="str">
        <f>IF(V33='Request #37'!V33,"OK","Send in Change Order")</f>
        <v>OK</v>
      </c>
      <c r="S33" s="85">
        <v>22</v>
      </c>
      <c r="T33" s="86" t="s">
        <v>71</v>
      </c>
      <c r="U33" s="218">
        <f>'Request #37'!U33</f>
        <v>0</v>
      </c>
      <c r="V33" s="87">
        <f>'Request #37'!V33</f>
        <v>0</v>
      </c>
      <c r="W33" s="88">
        <f>SUMIF(F7:F79,22,E7:E79)</f>
        <v>0</v>
      </c>
      <c r="X33" s="88">
        <f>'Request #37'!Y33</f>
        <v>0</v>
      </c>
      <c r="Y33" s="88">
        <f t="shared" si="1"/>
        <v>0</v>
      </c>
      <c r="Z33" s="88">
        <f t="shared" si="2"/>
        <v>0</v>
      </c>
      <c r="AA33" s="88">
        <f>SUMIF(P7:P79,22,O7:O79)</f>
        <v>0</v>
      </c>
      <c r="AB33" s="50" t="str">
        <f>IF(W33&gt;='Request #37'!AA33,"OK","Alert,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197">
        <f t="shared" si="3"/>
        <v>28</v>
      </c>
      <c r="H34" s="198" t="str">
        <f t="shared" si="3"/>
        <v>Other Fees</v>
      </c>
      <c r="I34" s="247">
        <f t="shared" si="3"/>
        <v>0</v>
      </c>
      <c r="K34" s="159"/>
      <c r="L34" s="157"/>
      <c r="M34" s="157"/>
      <c r="N34" s="154"/>
      <c r="O34" s="155"/>
      <c r="P34" s="158"/>
      <c r="R34" s="50" t="str">
        <f>IF(V34='Request #37'!V34,"OK","Send in Change Order")</f>
        <v>OK</v>
      </c>
      <c r="S34" s="85">
        <v>23</v>
      </c>
      <c r="T34" s="86" t="s">
        <v>71</v>
      </c>
      <c r="U34" s="218">
        <f>'Request #37'!U34</f>
        <v>0</v>
      </c>
      <c r="V34" s="87">
        <f>'Request #37'!V34</f>
        <v>0</v>
      </c>
      <c r="W34" s="88">
        <f>SUMIF(F7:F79,23,E7:E79)</f>
        <v>0</v>
      </c>
      <c r="X34" s="88">
        <f>'Request #37'!Y34</f>
        <v>0</v>
      </c>
      <c r="Y34" s="88">
        <f t="shared" si="1"/>
        <v>0</v>
      </c>
      <c r="Z34" s="88">
        <f t="shared" si="2"/>
        <v>0</v>
      </c>
      <c r="AA34" s="88">
        <f>SUMIF(P7:P79,23,O7:O79)</f>
        <v>0</v>
      </c>
      <c r="AB34" s="50" t="str">
        <f>IF(W34&gt;='Request #37'!AA34,"OK","Alert,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197">
        <f t="shared" si="3"/>
        <v>29</v>
      </c>
      <c r="H35" s="198" t="str">
        <f t="shared" si="3"/>
        <v>Other Fees</v>
      </c>
      <c r="I35" s="247">
        <f t="shared" si="3"/>
        <v>0</v>
      </c>
      <c r="K35" s="159"/>
      <c r="L35" s="157"/>
      <c r="M35" s="157"/>
      <c r="N35" s="154"/>
      <c r="O35" s="155"/>
      <c r="P35" s="158"/>
      <c r="R35" s="50" t="str">
        <f>IF(V36='Request #37'!V36,"OK","Send in Change Order")</f>
        <v>OK</v>
      </c>
      <c r="S35" s="85">
        <v>24</v>
      </c>
      <c r="T35" s="86" t="s">
        <v>71</v>
      </c>
      <c r="U35" s="218">
        <f>'Request #37'!U35</f>
        <v>0</v>
      </c>
      <c r="V35" s="87">
        <f>'Request #37'!V35</f>
        <v>0</v>
      </c>
      <c r="W35" s="88">
        <f>SUMIF(F7:F79,24,E7:E79)</f>
        <v>0</v>
      </c>
      <c r="X35" s="88">
        <f>'Request #37'!Y35</f>
        <v>0</v>
      </c>
      <c r="Y35" s="88">
        <f t="shared" si="1"/>
        <v>0</v>
      </c>
      <c r="Z35" s="88">
        <f t="shared" si="2"/>
        <v>0</v>
      </c>
      <c r="AA35" s="88">
        <f>SUMIF(P7:P79,24,O7:O79)</f>
        <v>0</v>
      </c>
      <c r="AB35" s="50" t="str">
        <f>IF(W36&gt;='Request #37'!AA36,"OK","Alert,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197">
        <f t="shared" si="3"/>
        <v>30</v>
      </c>
      <c r="H36" s="198" t="str">
        <f t="shared" si="3"/>
        <v>Other Fees</v>
      </c>
      <c r="I36" s="247">
        <f t="shared" si="3"/>
        <v>0</v>
      </c>
      <c r="K36" s="159"/>
      <c r="L36" s="157"/>
      <c r="M36" s="157"/>
      <c r="N36" s="154"/>
      <c r="O36" s="155"/>
      <c r="P36" s="158"/>
      <c r="R36" s="50" t="str">
        <f>IF(V36='Request #37'!V36,"OK","Send in Change Order")</f>
        <v>OK</v>
      </c>
      <c r="S36" s="85">
        <v>25</v>
      </c>
      <c r="T36" s="86" t="s">
        <v>71</v>
      </c>
      <c r="U36" s="218">
        <f>'Request #37'!U36</f>
        <v>0</v>
      </c>
      <c r="V36" s="87">
        <f>'Request #37'!V36</f>
        <v>0</v>
      </c>
      <c r="W36" s="88">
        <f>SUMIF(F7:F79,25,E7:E79)</f>
        <v>0</v>
      </c>
      <c r="X36" s="88">
        <f>'Request #37'!Y36</f>
        <v>0</v>
      </c>
      <c r="Y36" s="88">
        <f t="shared" si="1"/>
        <v>0</v>
      </c>
      <c r="Z36" s="88">
        <f t="shared" si="2"/>
        <v>0</v>
      </c>
      <c r="AA36" s="88">
        <f>SUMIF(P7:P79,25,O7:O79)</f>
        <v>0</v>
      </c>
      <c r="AB36" s="50" t="str">
        <f>IF(W36&gt;='Request #37'!AA36,"OK","Alert,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197">
        <f t="shared" si="3"/>
        <v>31</v>
      </c>
      <c r="H37" s="198" t="str">
        <f t="shared" si="3"/>
        <v>Other Fees</v>
      </c>
      <c r="I37" s="247">
        <f t="shared" si="3"/>
        <v>0</v>
      </c>
      <c r="K37" s="159"/>
      <c r="L37" s="157"/>
      <c r="M37" s="157"/>
      <c r="N37" s="154"/>
      <c r="O37" s="155"/>
      <c r="P37" s="158"/>
      <c r="R37" s="50" t="str">
        <f>IF(V37='Request #37'!V37,"OK","Send in Change Order")</f>
        <v>OK</v>
      </c>
      <c r="S37" s="85">
        <v>26</v>
      </c>
      <c r="T37" s="86" t="s">
        <v>82</v>
      </c>
      <c r="U37" s="218">
        <f>'Request #37'!U37</f>
        <v>0</v>
      </c>
      <c r="V37" s="87">
        <f>'Request #37'!V37</f>
        <v>0</v>
      </c>
      <c r="W37" s="88">
        <f>SUMIF(F7:F79,26,E7:E79)</f>
        <v>0</v>
      </c>
      <c r="X37" s="88">
        <f>'Request #37'!Y37</f>
        <v>0</v>
      </c>
      <c r="Y37" s="88">
        <f t="shared" si="1"/>
        <v>0</v>
      </c>
      <c r="Z37" s="88">
        <f t="shared" si="2"/>
        <v>0</v>
      </c>
      <c r="AA37" s="88">
        <f>SUMIF(P7:P79,26,O7:O79)</f>
        <v>0</v>
      </c>
      <c r="AB37" s="50" t="str">
        <f>IF(W37&gt;='Request #37'!AA37,"OK","Alert,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197">
        <f t="shared" si="3"/>
        <v>32</v>
      </c>
      <c r="H38" s="198" t="str">
        <f t="shared" si="3"/>
        <v>Other Fees</v>
      </c>
      <c r="I38" s="247">
        <f t="shared" si="3"/>
        <v>0</v>
      </c>
      <c r="K38" s="159"/>
      <c r="L38" s="157"/>
      <c r="M38" s="157"/>
      <c r="N38" s="154"/>
      <c r="O38" s="155"/>
      <c r="P38" s="158"/>
      <c r="R38" s="50" t="str">
        <f>IF(V38='Request #37'!V38,"OK","Send in Change Order")</f>
        <v>OK</v>
      </c>
      <c r="S38" s="85">
        <v>27</v>
      </c>
      <c r="T38" s="86" t="s">
        <v>82</v>
      </c>
      <c r="U38" s="218">
        <f>'Request #37'!U38</f>
        <v>0</v>
      </c>
      <c r="V38" s="87">
        <f>'Request #37'!V38</f>
        <v>0</v>
      </c>
      <c r="W38" s="88">
        <f>SUMIF(F7:F79,27,E7:E79)</f>
        <v>0</v>
      </c>
      <c r="X38" s="88">
        <f>'Request #37'!Y38</f>
        <v>0</v>
      </c>
      <c r="Y38" s="88">
        <f t="shared" si="1"/>
        <v>0</v>
      </c>
      <c r="Z38" s="88">
        <f t="shared" si="2"/>
        <v>0</v>
      </c>
      <c r="AA38" s="88">
        <f>SUMIF(P7:P79,27,O7:O79)</f>
        <v>0</v>
      </c>
      <c r="AB38" s="50" t="str">
        <f>IF(W38&gt;='Request #37'!AA38,"OK","Alert,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197">
        <f t="shared" si="3"/>
        <v>33</v>
      </c>
      <c r="H39" s="198" t="str">
        <f t="shared" si="3"/>
        <v>Other Fees</v>
      </c>
      <c r="I39" s="247">
        <f t="shared" si="3"/>
        <v>0</v>
      </c>
      <c r="K39" s="159"/>
      <c r="L39" s="157"/>
      <c r="M39" s="157"/>
      <c r="N39" s="154"/>
      <c r="O39" s="155"/>
      <c r="P39" s="158"/>
      <c r="R39" s="50" t="str">
        <f>IF(V39='Request #37'!V39,"OK","Send in Change Order")</f>
        <v>OK</v>
      </c>
      <c r="S39" s="85">
        <v>28</v>
      </c>
      <c r="T39" s="86" t="s">
        <v>82</v>
      </c>
      <c r="U39" s="218">
        <f>'Request #37'!U39</f>
        <v>0</v>
      </c>
      <c r="V39" s="87">
        <f>'Request #37'!V39</f>
        <v>0</v>
      </c>
      <c r="W39" s="88">
        <f>SUMIF(F7:F79,28,E7:E79)</f>
        <v>0</v>
      </c>
      <c r="X39" s="88">
        <f>'Request #37'!Y39</f>
        <v>0</v>
      </c>
      <c r="Y39" s="88">
        <f t="shared" si="1"/>
        <v>0</v>
      </c>
      <c r="Z39" s="88">
        <f t="shared" si="2"/>
        <v>0</v>
      </c>
      <c r="AA39" s="88">
        <f>SUMIF(P7:P79,28,O7:O79)</f>
        <v>0</v>
      </c>
      <c r="AB39" s="50" t="str">
        <f>IF(W39&gt;='Request #37'!AA39,"OK","Alert,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197">
        <f t="shared" ref="G40:I55" si="4">S45</f>
        <v>0</v>
      </c>
      <c r="H40" s="198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#37'!V40,"OK","Send in Change Order")</f>
        <v>OK</v>
      </c>
      <c r="S40" s="85">
        <v>29</v>
      </c>
      <c r="T40" s="86" t="s">
        <v>82</v>
      </c>
      <c r="U40" s="218">
        <f>'Request #37'!U40</f>
        <v>0</v>
      </c>
      <c r="V40" s="87">
        <f>'Request #37'!V40</f>
        <v>0</v>
      </c>
      <c r="W40" s="88">
        <f>SUMIF(F7:F79,29,E7:E79)</f>
        <v>0</v>
      </c>
      <c r="X40" s="88">
        <f>'Request #37'!Y40</f>
        <v>0</v>
      </c>
      <c r="Y40" s="88">
        <f t="shared" si="1"/>
        <v>0</v>
      </c>
      <c r="Z40" s="88">
        <f t="shared" si="2"/>
        <v>0</v>
      </c>
      <c r="AA40" s="88">
        <f>SUMIF(P7:P79,29,O7:O79)</f>
        <v>0</v>
      </c>
      <c r="AB40" s="50" t="str">
        <f>IF(W40&gt;='Request #37'!AA40,"OK","Alert,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197" t="str">
        <f t="shared" si="4"/>
        <v>Cost</v>
      </c>
      <c r="H41" s="198">
        <f t="shared" si="4"/>
        <v>0</v>
      </c>
      <c r="I41" s="247">
        <f t="shared" si="4"/>
        <v>0</v>
      </c>
      <c r="K41" s="159"/>
      <c r="L41" s="157"/>
      <c r="M41" s="157"/>
      <c r="N41" s="154"/>
      <c r="O41" s="155"/>
      <c r="P41" s="158"/>
      <c r="R41" s="50" t="str">
        <f>IF(V41='Request #37'!V41,"OK","Send in Change Order")</f>
        <v>OK</v>
      </c>
      <c r="S41" s="85">
        <v>30</v>
      </c>
      <c r="T41" s="86" t="s">
        <v>82</v>
      </c>
      <c r="U41" s="218">
        <f>'Request #37'!U41</f>
        <v>0</v>
      </c>
      <c r="V41" s="87">
        <f>'Request #37'!V41</f>
        <v>0</v>
      </c>
      <c r="W41" s="88">
        <f>SUMIF(F7:F79,30,E7:E79)</f>
        <v>0</v>
      </c>
      <c r="X41" s="88">
        <f>'Request #37'!Y41</f>
        <v>0</v>
      </c>
      <c r="Y41" s="88">
        <f t="shared" si="1"/>
        <v>0</v>
      </c>
      <c r="Z41" s="88">
        <f t="shared" si="2"/>
        <v>0</v>
      </c>
      <c r="AA41" s="88">
        <f>SUMIF(P7:P79,30,O7:O79)</f>
        <v>0</v>
      </c>
      <c r="AB41" s="50" t="str">
        <f>IF(W41&gt;='Request #37'!AA41,"OK","Alert,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197" t="str">
        <f t="shared" si="4"/>
        <v>Item</v>
      </c>
      <c r="H42" s="198" t="str">
        <f t="shared" si="4"/>
        <v>Account Name</v>
      </c>
      <c r="I42" s="247">
        <f t="shared" si="4"/>
        <v>0</v>
      </c>
      <c r="K42" s="159"/>
      <c r="L42" s="157"/>
      <c r="M42" s="157"/>
      <c r="N42" s="154"/>
      <c r="O42" s="155"/>
      <c r="P42" s="158"/>
      <c r="R42" s="50" t="str">
        <f>IF(V42='Request #37'!V42,"OK","Send in Change Order")</f>
        <v>OK</v>
      </c>
      <c r="S42" s="85">
        <v>31</v>
      </c>
      <c r="T42" s="86" t="s">
        <v>82</v>
      </c>
      <c r="U42" s="218">
        <f>'Request #37'!U42</f>
        <v>0</v>
      </c>
      <c r="V42" s="87">
        <f>'Request #37'!V42</f>
        <v>0</v>
      </c>
      <c r="W42" s="88">
        <f>SUMIF(F7:F79,31,E7:E79)</f>
        <v>0</v>
      </c>
      <c r="X42" s="88">
        <f>'Request #37'!Y42</f>
        <v>0</v>
      </c>
      <c r="Y42" s="88">
        <f t="shared" si="1"/>
        <v>0</v>
      </c>
      <c r="Z42" s="88">
        <f t="shared" si="2"/>
        <v>0</v>
      </c>
      <c r="AA42" s="88">
        <f>SUMIF(P7:P79,31,O7:O79)</f>
        <v>0</v>
      </c>
      <c r="AB42" s="50" t="str">
        <f>IF(W42&gt;='Request #37'!AA42,"OK","Alert,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197">
        <f t="shared" si="4"/>
        <v>0</v>
      </c>
      <c r="H43" s="198">
        <f t="shared" si="4"/>
        <v>0</v>
      </c>
      <c r="I43" s="247">
        <f t="shared" si="4"/>
        <v>0</v>
      </c>
      <c r="K43" s="159"/>
      <c r="L43" s="157"/>
      <c r="M43" s="157"/>
      <c r="N43" s="154"/>
      <c r="O43" s="155"/>
      <c r="P43" s="158"/>
      <c r="R43" s="50" t="str">
        <f>IF(V43='Request #37'!V43,"OK","Send in Change Order")</f>
        <v>OK</v>
      </c>
      <c r="S43" s="85">
        <v>32</v>
      </c>
      <c r="T43" s="86" t="s">
        <v>82</v>
      </c>
      <c r="U43" s="218">
        <f>'Request #37'!U43</f>
        <v>0</v>
      </c>
      <c r="V43" s="87">
        <f>'Request #37'!V43</f>
        <v>0</v>
      </c>
      <c r="W43" s="88">
        <f>SUMIF(F7:F79,32,E7:E79)</f>
        <v>0</v>
      </c>
      <c r="X43" s="88">
        <f>'Request #37'!Y43</f>
        <v>0</v>
      </c>
      <c r="Y43" s="88">
        <f t="shared" si="1"/>
        <v>0</v>
      </c>
      <c r="Z43" s="88">
        <f t="shared" si="2"/>
        <v>0</v>
      </c>
      <c r="AA43" s="88">
        <f>SUMIF(P7:P79,32,O7:O79)</f>
        <v>0</v>
      </c>
      <c r="AB43" s="50" t="str">
        <f>IF(W43&gt;='Request #37'!AA43,"OK","Alert,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197">
        <f t="shared" si="4"/>
        <v>38</v>
      </c>
      <c r="H44" s="198" t="str">
        <f t="shared" si="4"/>
        <v>Other Fees</v>
      </c>
      <c r="I44" s="247">
        <f t="shared" si="4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#37'!V44,"OK","Send in Change Order")</f>
        <v>OK</v>
      </c>
      <c r="S44" s="85">
        <v>33</v>
      </c>
      <c r="T44" s="86" t="s">
        <v>82</v>
      </c>
      <c r="U44" s="218">
        <f>'Request #37'!U44</f>
        <v>0</v>
      </c>
      <c r="V44" s="87">
        <f>'Request #37'!V44</f>
        <v>0</v>
      </c>
      <c r="W44" s="88">
        <f>SUMIF(F7:F79,33,E7:E79)</f>
        <v>0</v>
      </c>
      <c r="X44" s="88">
        <f>'Request #37'!Y44</f>
        <v>0</v>
      </c>
      <c r="Y44" s="88">
        <f t="shared" si="1"/>
        <v>0</v>
      </c>
      <c r="Z44" s="88">
        <f t="shared" si="2"/>
        <v>0</v>
      </c>
      <c r="AA44" s="88">
        <f>SUMIF(P7:P79,33,O7:O79)</f>
        <v>0</v>
      </c>
      <c r="AB44" s="50" t="str">
        <f>IF(W44&gt;='Request #37'!AA44,"OK","Alert,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4"/>
        <v>39</v>
      </c>
      <c r="H45" s="205" t="str">
        <f t="shared" si="4"/>
        <v>Other Fees</v>
      </c>
      <c r="I45" s="247">
        <f t="shared" si="4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4"/>
        <v>40</v>
      </c>
      <c r="H46" s="205" t="str">
        <f t="shared" si="4"/>
        <v>Other Fees</v>
      </c>
      <c r="I46" s="247">
        <f t="shared" si="4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197">
        <f t="shared" si="4"/>
        <v>41</v>
      </c>
      <c r="H47" s="198" t="str">
        <f t="shared" si="4"/>
        <v>Other Fees</v>
      </c>
      <c r="I47" s="247">
        <f t="shared" si="4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197">
        <f t="shared" si="4"/>
        <v>42</v>
      </c>
      <c r="H48" s="198" t="str">
        <f t="shared" si="4"/>
        <v>Other Fees</v>
      </c>
      <c r="I48" s="247">
        <f t="shared" si="4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197">
        <f t="shared" si="4"/>
        <v>43</v>
      </c>
      <c r="H49" s="198" t="str">
        <f t="shared" si="4"/>
        <v>Other Fees</v>
      </c>
      <c r="I49" s="247">
        <f t="shared" si="4"/>
        <v>0</v>
      </c>
      <c r="K49" s="159"/>
      <c r="L49" s="157"/>
      <c r="M49" s="157"/>
      <c r="N49" s="154"/>
      <c r="O49" s="155"/>
      <c r="P49" s="158"/>
      <c r="R49" s="50" t="str">
        <f>IF(V49='Request #37'!V49,"OK","Send in Change Order")</f>
        <v>OK</v>
      </c>
      <c r="S49" s="85">
        <v>38</v>
      </c>
      <c r="T49" s="86" t="s">
        <v>82</v>
      </c>
      <c r="U49" s="218">
        <f>'Request #37'!U49</f>
        <v>0</v>
      </c>
      <c r="V49" s="87">
        <f>'Request #37'!V49</f>
        <v>0</v>
      </c>
      <c r="W49" s="88">
        <f>SUMIF(F7:F79,38,E7:E79)</f>
        <v>0</v>
      </c>
      <c r="X49" s="88">
        <f>'Request #37'!Y49</f>
        <v>0</v>
      </c>
      <c r="Y49" s="88">
        <f t="shared" si="1"/>
        <v>0</v>
      </c>
      <c r="Z49" s="88">
        <f t="shared" si="2"/>
        <v>0</v>
      </c>
      <c r="AA49" s="88">
        <f>SUMIF(P7:P79,38,O7:O79)</f>
        <v>0</v>
      </c>
      <c r="AB49" s="50" t="str">
        <f>IF(W49&gt;='Request #37'!AA49,"OK","Alert,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197">
        <f t="shared" si="4"/>
        <v>44</v>
      </c>
      <c r="H50" s="198" t="str">
        <f t="shared" si="4"/>
        <v>Other Fees</v>
      </c>
      <c r="I50" s="247">
        <f t="shared" si="4"/>
        <v>0</v>
      </c>
      <c r="K50" s="159"/>
      <c r="L50" s="157"/>
      <c r="M50" s="157"/>
      <c r="N50" s="154"/>
      <c r="O50" s="155"/>
      <c r="P50" s="158"/>
      <c r="R50" s="50" t="str">
        <f>IF(V50='Request #37'!V50,"OK","Send in Change Order")</f>
        <v>OK</v>
      </c>
      <c r="S50" s="85">
        <v>39</v>
      </c>
      <c r="T50" s="86" t="s">
        <v>82</v>
      </c>
      <c r="U50" s="218">
        <f>'Request #37'!U50</f>
        <v>0</v>
      </c>
      <c r="V50" s="87">
        <f>'Request #37'!V50</f>
        <v>0</v>
      </c>
      <c r="W50" s="88">
        <f>SUMIF(F7:F79,39,E7:E79)</f>
        <v>0</v>
      </c>
      <c r="X50" s="88">
        <f>'Request #37'!Y50</f>
        <v>0</v>
      </c>
      <c r="Y50" s="88">
        <f t="shared" si="1"/>
        <v>0</v>
      </c>
      <c r="Z50" s="88">
        <f t="shared" si="2"/>
        <v>0</v>
      </c>
      <c r="AA50" s="88">
        <f>SUMIF(P7:P79,39,O7:O79)</f>
        <v>0</v>
      </c>
      <c r="AB50" s="50" t="str">
        <f>IF(W50&gt;='Request #37'!AA50,"OK","Alert,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197">
        <f t="shared" si="4"/>
        <v>45</v>
      </c>
      <c r="H51" s="198" t="str">
        <f t="shared" si="4"/>
        <v>Other Fees</v>
      </c>
      <c r="I51" s="247">
        <f t="shared" si="4"/>
        <v>0</v>
      </c>
      <c r="K51" s="159"/>
      <c r="L51" s="157"/>
      <c r="M51" s="157"/>
      <c r="N51" s="154"/>
      <c r="O51" s="155"/>
      <c r="P51" s="158"/>
      <c r="R51" s="50" t="str">
        <f>IF(V51='Request #37'!V51,"OK","Send in Change Order")</f>
        <v>OK</v>
      </c>
      <c r="S51" s="85">
        <v>40</v>
      </c>
      <c r="T51" s="86" t="s">
        <v>82</v>
      </c>
      <c r="U51" s="218">
        <f>'Request #37'!U51</f>
        <v>0</v>
      </c>
      <c r="V51" s="87">
        <f>'Request #37'!V51</f>
        <v>0</v>
      </c>
      <c r="W51" s="88">
        <f>SUMIF(F7:F79,40,E7:E79)</f>
        <v>0</v>
      </c>
      <c r="X51" s="88">
        <f>'Request #37'!Y51</f>
        <v>0</v>
      </c>
      <c r="Y51" s="88">
        <f t="shared" si="1"/>
        <v>0</v>
      </c>
      <c r="Z51" s="88">
        <f t="shared" si="2"/>
        <v>0</v>
      </c>
      <c r="AA51" s="88">
        <f>SUMIF(P7:P79,40,O7:O79)</f>
        <v>0</v>
      </c>
      <c r="AB51" s="50" t="str">
        <f>IF(W51&gt;='Request #37'!AA51,"OK","Alert,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197">
        <f t="shared" si="4"/>
        <v>46</v>
      </c>
      <c r="H52" s="198" t="str">
        <f t="shared" si="4"/>
        <v>Other Fees</v>
      </c>
      <c r="I52" s="247">
        <f t="shared" si="4"/>
        <v>0</v>
      </c>
      <c r="K52" s="159"/>
      <c r="L52" s="157"/>
      <c r="M52" s="157"/>
      <c r="N52" s="154"/>
      <c r="O52" s="155"/>
      <c r="P52" s="158"/>
      <c r="R52" s="50" t="str">
        <f>IF(V52='Request #37'!V52,"OK","Send in Change Order")</f>
        <v>OK</v>
      </c>
      <c r="S52" s="85">
        <v>41</v>
      </c>
      <c r="T52" s="86" t="s">
        <v>82</v>
      </c>
      <c r="U52" s="218">
        <f>'Request #37'!U52</f>
        <v>0</v>
      </c>
      <c r="V52" s="87">
        <f>'Request #37'!V52</f>
        <v>0</v>
      </c>
      <c r="W52" s="88">
        <f>SUMIF(F7:F79,41,E7:E79)</f>
        <v>0</v>
      </c>
      <c r="X52" s="88">
        <f>'Request #37'!Y52</f>
        <v>0</v>
      </c>
      <c r="Y52" s="88">
        <f t="shared" si="1"/>
        <v>0</v>
      </c>
      <c r="Z52" s="88">
        <f t="shared" si="2"/>
        <v>0</v>
      </c>
      <c r="AA52" s="88">
        <f>SUMIF(P7:P79,41,O7:O79)</f>
        <v>0</v>
      </c>
      <c r="AB52" s="50" t="str">
        <f>IF(W52&gt;='Request #37'!AA52,"OK","Alert,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197">
        <f t="shared" si="4"/>
        <v>47</v>
      </c>
      <c r="H53" s="198" t="str">
        <f t="shared" si="4"/>
        <v>Other Fees</v>
      </c>
      <c r="I53" s="247">
        <f t="shared" si="4"/>
        <v>0</v>
      </c>
      <c r="K53" s="159"/>
      <c r="L53" s="157"/>
      <c r="M53" s="157"/>
      <c r="N53" s="154"/>
      <c r="O53" s="155"/>
      <c r="P53" s="158"/>
      <c r="R53" s="50" t="str">
        <f>IF(V53='Request #37'!V53,"OK","Send in Change Order")</f>
        <v>OK</v>
      </c>
      <c r="S53" s="85">
        <v>42</v>
      </c>
      <c r="T53" s="86" t="s">
        <v>82</v>
      </c>
      <c r="U53" s="218">
        <f>'Request #37'!U53</f>
        <v>0</v>
      </c>
      <c r="V53" s="87">
        <f>'Request #37'!V53</f>
        <v>0</v>
      </c>
      <c r="W53" s="88">
        <f>SUMIF(F7:F79,42,E7:E79)</f>
        <v>0</v>
      </c>
      <c r="X53" s="88">
        <f>'Request #37'!Y53</f>
        <v>0</v>
      </c>
      <c r="Y53" s="88">
        <f t="shared" si="1"/>
        <v>0</v>
      </c>
      <c r="Z53" s="88">
        <f t="shared" si="2"/>
        <v>0</v>
      </c>
      <c r="AA53" s="88">
        <f>SUMIF(P7:P79,42,O7:O79)</f>
        <v>0</v>
      </c>
      <c r="AB53" s="50" t="str">
        <f>IF(W53&gt;='Request #37'!AA53,"OK","Alert,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197">
        <f t="shared" si="4"/>
        <v>48</v>
      </c>
      <c r="H54" s="198" t="str">
        <f t="shared" si="4"/>
        <v>Other Fees</v>
      </c>
      <c r="I54" s="247">
        <f t="shared" si="4"/>
        <v>0</v>
      </c>
      <c r="K54" s="159"/>
      <c r="L54" s="157"/>
      <c r="M54" s="157"/>
      <c r="N54" s="154"/>
      <c r="O54" s="155"/>
      <c r="P54" s="158"/>
      <c r="R54" s="50" t="str">
        <f>IF(V54='Request #37'!V54,"OK","Send in Change Order")</f>
        <v>OK</v>
      </c>
      <c r="S54" s="85">
        <v>43</v>
      </c>
      <c r="T54" s="86" t="s">
        <v>82</v>
      </c>
      <c r="U54" s="218">
        <f>'Request #37'!U54</f>
        <v>0</v>
      </c>
      <c r="V54" s="87">
        <f>'Request #37'!V54</f>
        <v>0</v>
      </c>
      <c r="W54" s="88">
        <f>SUMIF(F7:F79,43,E7:E79)</f>
        <v>0</v>
      </c>
      <c r="X54" s="88">
        <f>'Request #37'!Y54</f>
        <v>0</v>
      </c>
      <c r="Y54" s="88">
        <f t="shared" si="1"/>
        <v>0</v>
      </c>
      <c r="Z54" s="88">
        <f t="shared" si="2"/>
        <v>0</v>
      </c>
      <c r="AA54" s="88">
        <f>SUMIF(P7:P79,43,O7:O79)</f>
        <v>0</v>
      </c>
      <c r="AB54" s="50" t="str">
        <f>IF(W54&gt;='Request #37'!AA54,"OK","Alert,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197">
        <f t="shared" si="4"/>
        <v>49</v>
      </c>
      <c r="H55" s="198" t="str">
        <f t="shared" si="4"/>
        <v>Other Fees</v>
      </c>
      <c r="I55" s="247">
        <f t="shared" si="4"/>
        <v>0</v>
      </c>
      <c r="K55" s="159"/>
      <c r="L55" s="157"/>
      <c r="M55" s="157"/>
      <c r="N55" s="154"/>
      <c r="O55" s="155"/>
      <c r="P55" s="158"/>
      <c r="R55" s="50" t="str">
        <f>IF(V55='Request #37'!V55,"OK","Send in Change Order")</f>
        <v>OK</v>
      </c>
      <c r="S55" s="85">
        <v>44</v>
      </c>
      <c r="T55" s="86" t="s">
        <v>82</v>
      </c>
      <c r="U55" s="218">
        <f>'Request #37'!U55</f>
        <v>0</v>
      </c>
      <c r="V55" s="87">
        <f>'Request #37'!V55</f>
        <v>0</v>
      </c>
      <c r="W55" s="88">
        <f>SUMIF(F7:F79,44,E7:E79)</f>
        <v>0</v>
      </c>
      <c r="X55" s="88">
        <f>'Request #37'!Y55</f>
        <v>0</v>
      </c>
      <c r="Y55" s="88">
        <f t="shared" si="1"/>
        <v>0</v>
      </c>
      <c r="Z55" s="88">
        <f t="shared" si="2"/>
        <v>0</v>
      </c>
      <c r="AA55" s="88">
        <f>SUMIF(P7:P79,44,O7:O79)</f>
        <v>0</v>
      </c>
      <c r="AB55" s="50" t="str">
        <f>IF(W55&gt;='Request #37'!AA55,"OK","Alert,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197">
        <f t="shared" ref="G56:I62" si="5">S61</f>
        <v>50</v>
      </c>
      <c r="H56" s="198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#37'!V56,"OK","Send in Change Order")</f>
        <v>OK</v>
      </c>
      <c r="S56" s="85">
        <v>45</v>
      </c>
      <c r="T56" s="86" t="s">
        <v>82</v>
      </c>
      <c r="U56" s="218">
        <f>'Request #37'!U56</f>
        <v>0</v>
      </c>
      <c r="V56" s="87">
        <f>'Request #37'!V56</f>
        <v>0</v>
      </c>
      <c r="W56" s="88">
        <f>SUMIF(F7:F79,45,E7:E79)</f>
        <v>0</v>
      </c>
      <c r="X56" s="88">
        <f>'Request #37'!Y56</f>
        <v>0</v>
      </c>
      <c r="Y56" s="88">
        <f t="shared" si="1"/>
        <v>0</v>
      </c>
      <c r="Z56" s="88">
        <f t="shared" si="2"/>
        <v>0</v>
      </c>
      <c r="AA56" s="88">
        <f>SUMIF(P7:P79,45,O7:O79)</f>
        <v>0</v>
      </c>
      <c r="AB56" s="50" t="str">
        <f>IF(W56&gt;='Request #37'!AA56,"OK","Alert,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197">
        <f t="shared" si="5"/>
        <v>51</v>
      </c>
      <c r="H57" s="198" t="str">
        <f t="shared" si="5"/>
        <v>Other Fees</v>
      </c>
      <c r="I57" s="247">
        <f t="shared" si="5"/>
        <v>0</v>
      </c>
      <c r="K57" s="159"/>
      <c r="L57" s="157"/>
      <c r="M57" s="157"/>
      <c r="N57" s="154"/>
      <c r="O57" s="155"/>
      <c r="P57" s="158"/>
      <c r="R57" s="50" t="str">
        <f>IF(V57='Request #37'!V57,"OK","Send in Change Order")</f>
        <v>OK</v>
      </c>
      <c r="S57" s="85">
        <v>46</v>
      </c>
      <c r="T57" s="86" t="s">
        <v>82</v>
      </c>
      <c r="U57" s="218">
        <f>'Request #37'!U57</f>
        <v>0</v>
      </c>
      <c r="V57" s="87">
        <f>'Request #37'!V57</f>
        <v>0</v>
      </c>
      <c r="W57" s="88">
        <f>SUMIF(F7:F79,46,E7:E79)</f>
        <v>0</v>
      </c>
      <c r="X57" s="88">
        <f>'Request #37'!Y57</f>
        <v>0</v>
      </c>
      <c r="Y57" s="88">
        <f t="shared" si="1"/>
        <v>0</v>
      </c>
      <c r="Z57" s="88">
        <f t="shared" si="2"/>
        <v>0</v>
      </c>
      <c r="AA57" s="88">
        <f>SUMIF(P7:P79,46,O7:O79)</f>
        <v>0</v>
      </c>
      <c r="AB57" s="50" t="str">
        <f>IF(W57&gt;='Request #37'!AA57,"OK","Alert,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197">
        <f t="shared" si="5"/>
        <v>52</v>
      </c>
      <c r="H58" s="198" t="str">
        <f t="shared" si="5"/>
        <v>Worked Performed by Owner</v>
      </c>
      <c r="I58" s="247">
        <f t="shared" si="5"/>
        <v>0</v>
      </c>
      <c r="K58" s="159"/>
      <c r="L58" s="157"/>
      <c r="M58" s="157"/>
      <c r="N58" s="154"/>
      <c r="O58" s="155"/>
      <c r="P58" s="158"/>
      <c r="R58" s="50" t="str">
        <f>IF(V58='Request #37'!V58,"OK","Send in Change Order")</f>
        <v>OK</v>
      </c>
      <c r="S58" s="85">
        <v>47</v>
      </c>
      <c r="T58" s="86" t="s">
        <v>82</v>
      </c>
      <c r="U58" s="218">
        <f>'Request #37'!U58</f>
        <v>0</v>
      </c>
      <c r="V58" s="87">
        <f>'Request #37'!V58</f>
        <v>0</v>
      </c>
      <c r="W58" s="88">
        <f>SUMIF(F7:F79,47,E7:E79)</f>
        <v>0</v>
      </c>
      <c r="X58" s="88">
        <f>'Request #37'!Y58</f>
        <v>0</v>
      </c>
      <c r="Y58" s="88">
        <f t="shared" si="1"/>
        <v>0</v>
      </c>
      <c r="Z58" s="88">
        <f t="shared" si="2"/>
        <v>0</v>
      </c>
      <c r="AA58" s="88">
        <f>SUMIF(P7:P79,47,O7:O79)</f>
        <v>0</v>
      </c>
      <c r="AB58" s="50" t="str">
        <f>IF(W58&gt;='Request #37'!AA58,"OK","Alert,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197">
        <f t="shared" si="5"/>
        <v>53</v>
      </c>
      <c r="H59" s="198" t="str">
        <f t="shared" si="5"/>
        <v>Equipment (Major)</v>
      </c>
      <c r="I59" s="247">
        <f t="shared" si="5"/>
        <v>0</v>
      </c>
      <c r="K59" s="159"/>
      <c r="L59" s="157"/>
      <c r="M59" s="157"/>
      <c r="N59" s="154"/>
      <c r="O59" s="155"/>
      <c r="P59" s="158"/>
      <c r="R59" s="50" t="str">
        <f>IF(V59='Request #37'!V59,"OK","Send in Change Order")</f>
        <v>OK</v>
      </c>
      <c r="S59" s="85">
        <v>48</v>
      </c>
      <c r="T59" s="86" t="s">
        <v>82</v>
      </c>
      <c r="U59" s="218">
        <f>'Request #37'!U59</f>
        <v>0</v>
      </c>
      <c r="V59" s="87">
        <f>'Request #37'!V59</f>
        <v>0</v>
      </c>
      <c r="W59" s="88">
        <f>SUMIF(F7:F79,48,E7:E79)</f>
        <v>0</v>
      </c>
      <c r="X59" s="88">
        <f>'Request #37'!Y59</f>
        <v>0</v>
      </c>
      <c r="Y59" s="88">
        <f t="shared" si="1"/>
        <v>0</v>
      </c>
      <c r="Z59" s="88">
        <f t="shared" si="2"/>
        <v>0</v>
      </c>
      <c r="AA59" s="88">
        <f>SUMIF(P7:P79,48,O7:O79)</f>
        <v>0</v>
      </c>
      <c r="AB59" s="50" t="str">
        <f>IF(W59&gt;='Request #37'!AA59,"OK","Alert,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197">
        <f t="shared" si="5"/>
        <v>54</v>
      </c>
      <c r="H60" s="198" t="str">
        <f t="shared" si="5"/>
        <v>Contingency Fund</v>
      </c>
      <c r="I60" s="247">
        <f t="shared" si="5"/>
        <v>0</v>
      </c>
      <c r="K60" s="159"/>
      <c r="L60" s="157"/>
      <c r="M60" s="157"/>
      <c r="N60" s="154"/>
      <c r="O60" s="155"/>
      <c r="P60" s="158"/>
      <c r="R60" s="50" t="str">
        <f>IF(V60='Request #37'!V60,"OK","Send in Change Order")</f>
        <v>OK</v>
      </c>
      <c r="S60" s="85">
        <v>49</v>
      </c>
      <c r="T60" s="86" t="s">
        <v>82</v>
      </c>
      <c r="U60" s="218">
        <f>'Request #37'!U60</f>
        <v>0</v>
      </c>
      <c r="V60" s="87">
        <f>'Request #37'!V60</f>
        <v>0</v>
      </c>
      <c r="W60" s="88">
        <f>SUMIF(F7:F79,49,E7:E79)</f>
        <v>0</v>
      </c>
      <c r="X60" s="88">
        <f>'Request #37'!Y60</f>
        <v>0</v>
      </c>
      <c r="Y60" s="88">
        <f t="shared" si="1"/>
        <v>0</v>
      </c>
      <c r="Z60" s="88">
        <f t="shared" si="2"/>
        <v>0</v>
      </c>
      <c r="AA60" s="88">
        <f>SUMIF(P7:P79,49,O7:O79)</f>
        <v>0</v>
      </c>
      <c r="AB60" s="50" t="str">
        <f>IF(W60&gt;='Request #37'!AA60,"OK","Alert,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197">
        <f t="shared" si="5"/>
        <v>55</v>
      </c>
      <c r="H61" s="198">
        <f t="shared" si="5"/>
        <v>0</v>
      </c>
      <c r="I61" s="247">
        <f t="shared" si="5"/>
        <v>0</v>
      </c>
      <c r="K61" s="159"/>
      <c r="L61" s="157"/>
      <c r="M61" s="157"/>
      <c r="N61" s="154"/>
      <c r="O61" s="155"/>
      <c r="P61" s="158"/>
      <c r="R61" s="50" t="str">
        <f>IF(V61='Request #37'!V61,"OK","Send in Change Order")</f>
        <v>OK</v>
      </c>
      <c r="S61" s="85">
        <v>50</v>
      </c>
      <c r="T61" s="86" t="s">
        <v>82</v>
      </c>
      <c r="U61" s="218">
        <f>'Request #37'!U61</f>
        <v>0</v>
      </c>
      <c r="V61" s="87">
        <f>'Request #37'!V61</f>
        <v>0</v>
      </c>
      <c r="W61" s="88">
        <f>SUMIF(F7:F79,50,E7:E79)</f>
        <v>0</v>
      </c>
      <c r="X61" s="88">
        <f>'Request #37'!Y61</f>
        <v>0</v>
      </c>
      <c r="Y61" s="88">
        <f t="shared" si="1"/>
        <v>0</v>
      </c>
      <c r="Z61" s="88">
        <f t="shared" si="2"/>
        <v>0</v>
      </c>
      <c r="AA61" s="88">
        <f>SUMIF(P7:P79,50,O7:O79)</f>
        <v>0</v>
      </c>
      <c r="AB61" s="50" t="str">
        <f>IF(W61&gt;='Request #37'!AA61,"OK","Alert,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197">
        <f t="shared" si="5"/>
        <v>56</v>
      </c>
      <c r="H62" s="198">
        <f t="shared" si="5"/>
        <v>0</v>
      </c>
      <c r="I62" s="247">
        <f t="shared" si="5"/>
        <v>0</v>
      </c>
      <c r="K62" s="159"/>
      <c r="L62" s="157"/>
      <c r="M62" s="157"/>
      <c r="N62" s="154"/>
      <c r="O62" s="155"/>
      <c r="P62" s="158"/>
      <c r="R62" s="50" t="str">
        <f>IF(V62='Request #37'!V62,"OK","Send in Change Order")</f>
        <v>OK</v>
      </c>
      <c r="S62" s="85">
        <v>51</v>
      </c>
      <c r="T62" s="86" t="s">
        <v>82</v>
      </c>
      <c r="U62" s="218">
        <f>'Request #37'!U62</f>
        <v>0</v>
      </c>
      <c r="V62" s="87">
        <f>'Request #37'!V62</f>
        <v>0</v>
      </c>
      <c r="W62" s="88">
        <f>SUMIF(F7:F79,51,E7:E79)</f>
        <v>0</v>
      </c>
      <c r="X62" s="88">
        <f>'Request #37'!Y62</f>
        <v>0</v>
      </c>
      <c r="Y62" s="88">
        <f t="shared" si="1"/>
        <v>0</v>
      </c>
      <c r="Z62" s="88">
        <f t="shared" si="2"/>
        <v>0</v>
      </c>
      <c r="AA62" s="88">
        <f>SUMIF(P7:P79,51,O7:O79)</f>
        <v>0</v>
      </c>
      <c r="AB62" s="50" t="str">
        <f>IF(W62&gt;='Request #37'!AA62,"OK","Alert,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#37'!V63,"OK","Send in Change Order")</f>
        <v>OK</v>
      </c>
      <c r="S63" s="85">
        <v>52</v>
      </c>
      <c r="T63" s="86" t="s">
        <v>88</v>
      </c>
      <c r="U63" s="218">
        <f>'Request #37'!U63</f>
        <v>0</v>
      </c>
      <c r="V63" s="87">
        <f>'Request #37'!V63</f>
        <v>0</v>
      </c>
      <c r="W63" s="88">
        <f>SUMIF(F7:F79,52,E7:E79)</f>
        <v>0</v>
      </c>
      <c r="X63" s="88">
        <f>'Request #37'!Y63</f>
        <v>0</v>
      </c>
      <c r="Y63" s="88">
        <f t="shared" si="1"/>
        <v>0</v>
      </c>
      <c r="Z63" s="88">
        <f t="shared" si="2"/>
        <v>0</v>
      </c>
      <c r="AA63" s="88">
        <f>SUMIF(P7:P79,52,O7:O79)</f>
        <v>0</v>
      </c>
      <c r="AB63" s="50" t="str">
        <f>IF(W63&gt;='Request #37'!AA63,"OK","Alert,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#37'!V64,"OK","Send in Change Order")</f>
        <v>OK</v>
      </c>
      <c r="S64" s="85">
        <v>53</v>
      </c>
      <c r="T64" s="86" t="s">
        <v>89</v>
      </c>
      <c r="U64" s="218">
        <f>'Request #37'!U64</f>
        <v>0</v>
      </c>
      <c r="V64" s="87">
        <f>'Request #37'!V64</f>
        <v>0</v>
      </c>
      <c r="W64" s="88">
        <f>SUMIF(F7:F79,53,E7:E79)</f>
        <v>0</v>
      </c>
      <c r="X64" s="88">
        <f>'Request #37'!Y64</f>
        <v>0</v>
      </c>
      <c r="Y64" s="88">
        <f t="shared" si="1"/>
        <v>0</v>
      </c>
      <c r="Z64" s="88">
        <f t="shared" si="2"/>
        <v>0</v>
      </c>
      <c r="AA64" s="88">
        <f>SUMIF(P7:P79,53,O7:O79)</f>
        <v>0</v>
      </c>
      <c r="AB64" s="50" t="str">
        <f>IF(W64&gt;='Request #37'!AA64,"OK","Alert,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#37'!V65,"OK","Send in Change Order")</f>
        <v>OK</v>
      </c>
      <c r="S65" s="85">
        <v>54</v>
      </c>
      <c r="T65" s="102" t="s">
        <v>90</v>
      </c>
      <c r="U65" s="218">
        <f>'Request #37'!U65</f>
        <v>0</v>
      </c>
      <c r="V65" s="87">
        <f>'Request #37'!V65</f>
        <v>0</v>
      </c>
      <c r="W65" s="104"/>
      <c r="X65" s="88">
        <f>'Request #37'!Y65</f>
        <v>0</v>
      </c>
      <c r="Y65" s="88">
        <f t="shared" si="1"/>
        <v>0</v>
      </c>
      <c r="Z65" s="88">
        <f t="shared" si="2"/>
        <v>0</v>
      </c>
      <c r="AA65" s="104"/>
      <c r="AB65" s="50" t="str">
        <f>IF(W65&gt;='Request #37'!AA65,"OK","Alert,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#37'!V66,"OK","Send in Change Order")</f>
        <v>OK</v>
      </c>
      <c r="S66" s="85">
        <v>55</v>
      </c>
      <c r="T66" s="86"/>
      <c r="U66" s="218">
        <f>'Request #37'!U66</f>
        <v>0</v>
      </c>
      <c r="V66" s="87">
        <f>'Request #37'!V66</f>
        <v>0</v>
      </c>
      <c r="W66" s="88">
        <f>SUMIF(F7:F79,55,E7:E79)</f>
        <v>0</v>
      </c>
      <c r="X66" s="88">
        <f>'Request #37'!Y66</f>
        <v>0</v>
      </c>
      <c r="Y66" s="88">
        <f t="shared" si="1"/>
        <v>0</v>
      </c>
      <c r="Z66" s="88">
        <f t="shared" si="2"/>
        <v>0</v>
      </c>
      <c r="AA66" s="88">
        <f>SUMIF(P7:P79,55,O7:O79)</f>
        <v>0</v>
      </c>
      <c r="AB66" s="50" t="str">
        <f>IF(W66&gt;='Request #37'!AA66,"OK","Alert,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#37'!V67,"OK","Send in Change Order")</f>
        <v>OK</v>
      </c>
      <c r="S67" s="85">
        <v>56</v>
      </c>
      <c r="T67" s="79"/>
      <c r="U67" s="218">
        <f>'Request #37'!U67</f>
        <v>0</v>
      </c>
      <c r="V67" s="87">
        <f>'Request #37'!V67</f>
        <v>0</v>
      </c>
      <c r="W67" s="88">
        <f>SUMIF(F7:F79,56,E7:E79)</f>
        <v>0</v>
      </c>
      <c r="X67" s="88">
        <f>'Request #37'!Y67</f>
        <v>0</v>
      </c>
      <c r="Y67" s="88">
        <f t="shared" si="1"/>
        <v>0</v>
      </c>
      <c r="Z67" s="88">
        <f t="shared" si="2"/>
        <v>0</v>
      </c>
      <c r="AA67" s="88">
        <f>SUMIF(P7:P79,56,O7:O79)</f>
        <v>0</v>
      </c>
      <c r="AB67" s="50" t="str">
        <f>IF(W67&gt;='Request #37'!AA67,"OK","Alert,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#37'!V68,"OK","Send in Change Order")</f>
        <v>OK</v>
      </c>
      <c r="S68" s="316" t="s">
        <v>60</v>
      </c>
      <c r="T68" s="317"/>
      <c r="U68" s="224" t="s">
        <v>91</v>
      </c>
      <c r="V68" s="263">
        <f t="shared" ref="V68:AA68" si="6">SUM(V12:V67)</f>
        <v>0</v>
      </c>
      <c r="W68" s="105">
        <f t="shared" si="6"/>
        <v>0</v>
      </c>
      <c r="X68" s="105">
        <f t="shared" si="6"/>
        <v>0</v>
      </c>
      <c r="Y68" s="105">
        <f t="shared" si="6"/>
        <v>0</v>
      </c>
      <c r="Z68" s="105">
        <f t="shared" si="6"/>
        <v>0</v>
      </c>
      <c r="AA68" s="105">
        <f t="shared" si="6"/>
        <v>0</v>
      </c>
      <c r="AB68" s="50" t="str">
        <f>IF(W68&gt;='Request #37'!AA68,"OK","Alert,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25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226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27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28" t="e">
        <f>V72/V68</f>
        <v>#DIV/0!</v>
      </c>
      <c r="V72" s="88">
        <f>V68-V74-V73</f>
        <v>0</v>
      </c>
      <c r="W72" s="87">
        <v>0</v>
      </c>
      <c r="X72" s="88">
        <f>'Request #37'!Y72</f>
        <v>0</v>
      </c>
      <c r="Y72" s="88">
        <f t="shared" ref="Y72:Y73" si="7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S73" s="86" t="s">
        <v>95</v>
      </c>
      <c r="T73" s="114"/>
      <c r="U73" s="228" t="e">
        <f>V73/V68</f>
        <v>#DIV/0!</v>
      </c>
      <c r="V73" s="87">
        <f>'Request #37'!V73</f>
        <v>0</v>
      </c>
      <c r="W73" s="87">
        <v>0</v>
      </c>
      <c r="X73" s="88">
        <f>'Request #37'!Y73</f>
        <v>0</v>
      </c>
      <c r="Y73" s="88">
        <f t="shared" si="7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S74" s="120" t="s">
        <v>96</v>
      </c>
      <c r="T74" s="121"/>
      <c r="U74" s="228" t="e">
        <f>V74/V68</f>
        <v>#DIV/0!</v>
      </c>
      <c r="V74" s="87">
        <f>'Request #37'!V74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221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30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30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31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221"/>
      <c r="V80" s="55"/>
      <c r="W80" s="55"/>
      <c r="X80" s="138"/>
      <c r="Y80" s="45" t="s">
        <v>108</v>
      </c>
      <c r="Z80" s="43"/>
      <c r="AA80" s="88">
        <f>'Request #37'!AA79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38</v>
      </c>
      <c r="V87" s="55"/>
      <c r="W87" s="55"/>
      <c r="X87" s="138"/>
      <c r="Y87" s="45" t="s">
        <v>108</v>
      </c>
      <c r="Z87" s="43"/>
      <c r="AA87" s="88">
        <f>'Request #37'!AA86</f>
        <v>0</v>
      </c>
      <c r="AB87" s="110"/>
    </row>
    <row r="88" spans="1:28" ht="30" customHeight="1" thickBot="1" x14ac:dyDescent="0.35">
      <c r="S88" s="55"/>
      <c r="T88" s="55"/>
      <c r="U88" s="221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221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221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221"/>
      <c r="V91" s="55"/>
      <c r="W91" s="55"/>
      <c r="X91" s="55"/>
    </row>
    <row r="92" spans="1:28" ht="30" customHeight="1" x14ac:dyDescent="0.3">
      <c r="S92" s="55"/>
      <c r="T92" s="55"/>
      <c r="U92" s="221"/>
      <c r="V92" s="55"/>
      <c r="W92" s="55"/>
      <c r="X92" s="55"/>
    </row>
    <row r="93" spans="1:28" ht="30" customHeight="1" x14ac:dyDescent="0.3">
      <c r="S93" s="55"/>
      <c r="T93" s="55"/>
      <c r="U93" s="221"/>
      <c r="V93" s="55"/>
      <c r="W93" s="55"/>
      <c r="X93" s="55"/>
    </row>
    <row r="94" spans="1:28" ht="30" customHeight="1" x14ac:dyDescent="0.3">
      <c r="S94" s="55"/>
      <c r="T94" s="55"/>
      <c r="U94" s="221"/>
      <c r="V94" s="55"/>
      <c r="W94" s="55"/>
      <c r="X94" s="55"/>
    </row>
    <row r="95" spans="1:28" ht="30" customHeight="1" x14ac:dyDescent="0.3">
      <c r="S95" s="55"/>
      <c r="T95" s="55"/>
      <c r="U95" s="221"/>
      <c r="V95" s="55"/>
      <c r="W95" s="55"/>
      <c r="X95" s="55"/>
    </row>
    <row r="96" spans="1:28" ht="30" customHeight="1" x14ac:dyDescent="0.3">
      <c r="S96" s="55"/>
      <c r="T96" s="55"/>
      <c r="U96" s="221"/>
      <c r="V96" s="55"/>
      <c r="W96" s="55"/>
      <c r="X96" s="55"/>
    </row>
    <row r="97" spans="15:24" ht="30" customHeight="1" x14ac:dyDescent="0.3">
      <c r="S97" s="55"/>
      <c r="T97" s="55"/>
      <c r="U97" s="221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crahQ3Trk3fRJZMzXmS+jg5wtW2GuSgD/Av11omsRSqp2KsBFU74Lh30qszE6DTqTAcnkIQFAqVlNB7sCdhDJg==" saltValue="oeaGDsAtYFI484QXKeTptA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6:Z86"/>
    <mergeCell ref="S68:T68"/>
    <mergeCell ref="S70:T70"/>
    <mergeCell ref="Y76:AA76"/>
    <mergeCell ref="W77:W79"/>
    <mergeCell ref="Y79:Z79"/>
    <mergeCell ref="Y83:AA83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97" priority="10" operator="containsText" text="Change">
      <formula>NOT(ISERROR(SEARCH("Change",R1)))</formula>
    </cfRule>
  </conditionalFormatting>
  <conditionalFormatting sqref="R45:R48">
    <cfRule type="cellIs" dxfId="96" priority="7" operator="equal">
      <formula>"Send in Change Order"</formula>
    </cfRule>
  </conditionalFormatting>
  <conditionalFormatting sqref="W68">
    <cfRule type="cellIs" dxfId="95" priority="2" operator="notEqual">
      <formula>$E$82</formula>
    </cfRule>
    <cfRule type="cellIs" dxfId="94" priority="3" operator="greaterThan">
      <formula>$E$82</formula>
    </cfRule>
    <cfRule type="cellIs" dxfId="93" priority="4" operator="notEqual">
      <formula>$E$82</formula>
    </cfRule>
  </conditionalFormatting>
  <conditionalFormatting sqref="Z12:Z44">
    <cfRule type="cellIs" dxfId="92" priority="8" operator="lessThan">
      <formula>0</formula>
    </cfRule>
  </conditionalFormatting>
  <conditionalFormatting sqref="Z49:Z68">
    <cfRule type="cellIs" dxfId="91" priority="5" operator="lessThan">
      <formula>0</formula>
    </cfRule>
  </conditionalFormatting>
  <conditionalFormatting sqref="AA68">
    <cfRule type="cellIs" dxfId="90" priority="1" operator="notEqual">
      <formula>$O$82</formula>
    </cfRule>
  </conditionalFormatting>
  <conditionalFormatting sqref="AB1:AB1048576">
    <cfRule type="containsText" dxfId="89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6" manualBreakCount="6">
    <brk id="6" max="1048575" man="1"/>
    <brk id="10" max="1048575" man="1"/>
    <brk id="16" max="88" man="1"/>
    <brk id="18" max="1048575" man="1"/>
    <brk id="27" max="1048575" man="1"/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8.8867187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7.5546875" style="50" customWidth="1"/>
    <col min="19" max="19" width="6.77734375" style="39" customWidth="1"/>
    <col min="20" max="20" width="30.77734375" style="39" customWidth="1"/>
    <col min="21" max="21" width="17.77734375" style="206" customWidth="1"/>
    <col min="22" max="27" width="18.88671875" style="39" customWidth="1"/>
    <col min="28" max="28" width="25.88671875" style="54" customWidth="1"/>
    <col min="29" max="29" width="8.88671875" style="40"/>
    <col min="30" max="30" width="16" style="39" customWidth="1"/>
    <col min="31" max="31" width="110.109375" style="39" customWidth="1"/>
    <col min="32" max="32" width="21.88671875" style="39" customWidth="1"/>
    <col min="33" max="33" width="20.44140625" style="39" customWidth="1"/>
    <col min="34" max="16384" width="8.88671875" style="1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s="12" customFormat="1" ht="30" customHeight="1" x14ac:dyDescent="0.3">
      <c r="A2" s="143" t="s">
        <v>21</v>
      </c>
      <c r="B2" s="141"/>
      <c r="C2" s="142"/>
      <c r="D2" s="39"/>
      <c r="E2" s="144">
        <f>'Project Info'!C7</f>
        <v>0</v>
      </c>
      <c r="F2" s="41"/>
      <c r="G2" s="194"/>
      <c r="H2" s="194"/>
      <c r="I2" s="244"/>
      <c r="J2" s="40"/>
      <c r="K2" s="143" t="s">
        <v>22</v>
      </c>
      <c r="L2" s="141"/>
      <c r="M2" s="142"/>
      <c r="N2" s="39"/>
      <c r="O2" s="144">
        <f>'Project Info'!C7</f>
        <v>0</v>
      </c>
      <c r="P2" s="41"/>
      <c r="Q2" s="40"/>
      <c r="R2" s="50"/>
      <c r="S2" s="53" t="s">
        <v>23</v>
      </c>
      <c r="T2" s="39"/>
      <c r="U2" s="206"/>
      <c r="V2" s="39"/>
      <c r="W2" s="39"/>
      <c r="X2" s="39"/>
      <c r="Y2" s="39"/>
      <c r="Z2" s="39"/>
      <c r="AA2" s="39"/>
      <c r="AB2" s="54"/>
      <c r="AC2" s="40"/>
      <c r="AD2" s="37"/>
      <c r="AE2" s="39"/>
      <c r="AF2" s="39"/>
      <c r="AG2" s="39"/>
    </row>
    <row r="3" spans="1:33" s="12" customFormat="1" ht="30" customHeight="1" x14ac:dyDescent="0.3">
      <c r="A3" s="142"/>
      <c r="B3" s="141"/>
      <c r="C3" s="142"/>
      <c r="D3" s="39"/>
      <c r="E3" s="144">
        <f>'Project Info'!F13</f>
        <v>0</v>
      </c>
      <c r="F3" s="41"/>
      <c r="G3" s="194"/>
      <c r="H3" s="194"/>
      <c r="I3" s="244"/>
      <c r="J3" s="40"/>
      <c r="K3" s="142"/>
      <c r="L3" s="141"/>
      <c r="M3" s="142"/>
      <c r="N3" s="39"/>
      <c r="O3" s="144">
        <f>'Project Info'!F13</f>
        <v>0</v>
      </c>
      <c r="P3" s="41"/>
      <c r="Q3" s="40"/>
      <c r="R3" s="50"/>
      <c r="S3" s="55"/>
      <c r="T3" s="39"/>
      <c r="U3" s="62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3</v>
      </c>
      <c r="AB3" s="58"/>
      <c r="AC3" s="40"/>
      <c r="AD3" s="37"/>
      <c r="AE3" s="39"/>
      <c r="AF3" s="39"/>
      <c r="AG3" s="39"/>
    </row>
    <row r="4" spans="1:33" s="12" customFormat="1" ht="30" customHeight="1" x14ac:dyDescent="0.3">
      <c r="A4" s="142"/>
      <c r="B4" s="141"/>
      <c r="C4" s="142"/>
      <c r="D4" s="39"/>
      <c r="E4" s="146"/>
      <c r="F4" s="39"/>
      <c r="G4" s="92"/>
      <c r="H4" s="194"/>
      <c r="I4" s="244"/>
      <c r="J4" s="40"/>
      <c r="K4" s="142"/>
      <c r="L4" s="141"/>
      <c r="M4" s="142"/>
      <c r="N4" s="39"/>
      <c r="O4" s="146"/>
      <c r="P4" s="39"/>
      <c r="Q4" s="40"/>
      <c r="R4" s="50"/>
      <c r="S4" s="55"/>
      <c r="T4" s="39"/>
      <c r="U4" s="62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  <c r="AC4" s="40"/>
      <c r="AD4" s="39"/>
      <c r="AE4" s="39"/>
      <c r="AF4" s="39"/>
      <c r="AG4" s="39"/>
    </row>
    <row r="5" spans="1:33" s="9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T5" s="37"/>
      <c r="U5" s="62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>
        <v>40981</v>
      </c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9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77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07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08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3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114"/>
      <c r="T11" s="79"/>
      <c r="U11" s="90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#2'!V12,"OK","Send in Change Order")</f>
        <v>OK</v>
      </c>
      <c r="S12" s="85">
        <v>1</v>
      </c>
      <c r="T12" s="86" t="str">
        <f>'Request #2'!T12</f>
        <v>Land/Site Grading &amp; Improv.</v>
      </c>
      <c r="U12" s="218">
        <f>'Request #2'!U12</f>
        <v>0</v>
      </c>
      <c r="V12" s="87">
        <f>'Request #2'!V12</f>
        <v>0</v>
      </c>
      <c r="W12" s="88">
        <f>SUMIF(F7:F79,1,E7:E79)</f>
        <v>0</v>
      </c>
      <c r="X12" s="88">
        <f>'Request #2'!Y12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89" t="str">
        <f>IF(W12&gt;='Request #2'!AA12,"OK","Alert,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#2'!V13,"OK","Send in Change Order")</f>
        <v>OK</v>
      </c>
      <c r="S13" s="85">
        <v>2</v>
      </c>
      <c r="T13" s="86" t="str">
        <f>'Request #2'!T13</f>
        <v xml:space="preserve">General Contract </v>
      </c>
      <c r="U13" s="218">
        <f>'Request #2'!U13</f>
        <v>0</v>
      </c>
      <c r="V13" s="87">
        <f>'Request #2'!V13</f>
        <v>0</v>
      </c>
      <c r="W13" s="88">
        <f>SUMIF(F7:F79,2,E7:E79)</f>
        <v>0</v>
      </c>
      <c r="X13" s="88">
        <f>'Request #2'!Y13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89" t="str">
        <f>IF(W13&gt;='Request #2'!AA13,"OK","Alert,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#2'!V14,"OK","Send in Change Order")</f>
        <v>OK</v>
      </c>
      <c r="S14" s="85">
        <v>3</v>
      </c>
      <c r="T14" s="86" t="str">
        <f>'Request #2'!T14</f>
        <v>Designer Contract</v>
      </c>
      <c r="U14" s="218">
        <f>'Request #2'!U14</f>
        <v>0</v>
      </c>
      <c r="V14" s="87">
        <f>'Request #2'!V14</f>
        <v>0</v>
      </c>
      <c r="W14" s="88">
        <f>SUMIF(F7:F79,3,E7:E79)</f>
        <v>0</v>
      </c>
      <c r="X14" s="88">
        <f>'Request #2'!Y14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89" t="str">
        <f>IF(W14&gt;='Request #2'!AA14,"OK","Alert,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#2'!V15,"OK","Send in Change Order")</f>
        <v>OK</v>
      </c>
      <c r="S15" s="85">
        <v>4</v>
      </c>
      <c r="T15" s="86" t="str">
        <f>'Request #2'!T15</f>
        <v>Designer Reimbursables</v>
      </c>
      <c r="U15" s="218">
        <f>'Request #2'!U15</f>
        <v>0</v>
      </c>
      <c r="V15" s="87">
        <f>'Request #2'!V15</f>
        <v>0</v>
      </c>
      <c r="W15" s="88">
        <f>SUMIF(F7:F79,4,E7:E79)</f>
        <v>0</v>
      </c>
      <c r="X15" s="88">
        <f>'Request #2'!Y15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89" t="str">
        <f>IF(W15&gt;='Request #2'!AA15,"OK","Alert,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#2'!V16,"OK","Send in Change Order")</f>
        <v>OK</v>
      </c>
      <c r="S16" s="85">
        <v>5</v>
      </c>
      <c r="T16" s="86" t="str">
        <f>'Request #2'!T16</f>
        <v>Other Contracts</v>
      </c>
      <c r="U16" s="218">
        <f>'Request #2'!U16</f>
        <v>0</v>
      </c>
      <c r="V16" s="87">
        <f>'Request #2'!V16</f>
        <v>0</v>
      </c>
      <c r="W16" s="88">
        <f>SUMIF(F7:F79,5,E7:E79)</f>
        <v>0</v>
      </c>
      <c r="X16" s="88">
        <f>'Request #2'!Y16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89" t="str">
        <f>IF(W16&gt;='Request #2'!AA16,"OK","Alert,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#2'!V17,"OK","Send in Change Order")</f>
        <v>OK</v>
      </c>
      <c r="S17" s="85">
        <v>6</v>
      </c>
      <c r="T17" s="86" t="str">
        <f>'Request #2'!T17</f>
        <v>Other Contracts</v>
      </c>
      <c r="U17" s="218">
        <f>'Request #2'!U17</f>
        <v>0</v>
      </c>
      <c r="V17" s="87">
        <f>'Request #2'!V17</f>
        <v>0</v>
      </c>
      <c r="W17" s="88">
        <f>SUMIF(F7:F79,6,E7:E79)</f>
        <v>0</v>
      </c>
      <c r="X17" s="88">
        <f>'Request #2'!Y17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89" t="str">
        <f>IF(W17&gt;='Request #2'!AA17,"OK","Alert,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#2'!V18,"OK","Send in Change Order")</f>
        <v>OK</v>
      </c>
      <c r="S18" s="85">
        <v>7</v>
      </c>
      <c r="T18" s="86" t="str">
        <f>'Request #2'!T18</f>
        <v>Other Contracts</v>
      </c>
      <c r="U18" s="218">
        <f>'Request #2'!U18</f>
        <v>0</v>
      </c>
      <c r="V18" s="87">
        <f>'Request #2'!V18</f>
        <v>0</v>
      </c>
      <c r="W18" s="88">
        <f>SUMIF(F7:F79,7,E7:E79)</f>
        <v>0</v>
      </c>
      <c r="X18" s="88">
        <f>'Request #2'!Y18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89" t="str">
        <f>IF(W18&gt;='Request #2'!AA18,"OK","Alert,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#2'!V19,"OK","Send in Change Order")</f>
        <v>OK</v>
      </c>
      <c r="S19" s="85">
        <v>8</v>
      </c>
      <c r="T19" s="86" t="str">
        <f>'Request #2'!T19</f>
        <v>Other Contracts</v>
      </c>
      <c r="U19" s="218">
        <f>'Request #2'!U19</f>
        <v>0</v>
      </c>
      <c r="V19" s="87">
        <f>'Request #2'!V19</f>
        <v>0</v>
      </c>
      <c r="W19" s="88">
        <f>SUMIF(F7:F79,8,E7:E79)</f>
        <v>0</v>
      </c>
      <c r="X19" s="88">
        <f>'Request #2'!Y19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89" t="str">
        <f>IF(W19&gt;='Request #2'!AA19,"OK","Alert,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#2'!V20,"OK","Send in Change Order")</f>
        <v>OK</v>
      </c>
      <c r="S20" s="85">
        <v>9</v>
      </c>
      <c r="T20" s="86" t="str">
        <f>'Request #2'!T20</f>
        <v>Other Contracts</v>
      </c>
      <c r="U20" s="218">
        <f>'Request #2'!U20</f>
        <v>0</v>
      </c>
      <c r="V20" s="87">
        <f>'Request #2'!V20</f>
        <v>0</v>
      </c>
      <c r="W20" s="88">
        <f>SUMIF(F7:F79,9,E7:E79)</f>
        <v>0</v>
      </c>
      <c r="X20" s="88">
        <f>'Request #2'!Y20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89" t="str">
        <f>IF(W20&gt;='Request #2'!AA20,"OK","Alert,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#2'!V21,"OK","Send in Change Order")</f>
        <v>OK</v>
      </c>
      <c r="S21" s="85">
        <v>10</v>
      </c>
      <c r="T21" s="86" t="str">
        <f>'Request #2'!T21</f>
        <v>Other Contracts</v>
      </c>
      <c r="U21" s="218">
        <f>'Request #2'!U21</f>
        <v>0</v>
      </c>
      <c r="V21" s="87">
        <f>'Request #2'!V21</f>
        <v>0</v>
      </c>
      <c r="W21" s="88">
        <f>SUMIF(F7:F79,10,E7:E79)</f>
        <v>0</v>
      </c>
      <c r="X21" s="88">
        <f>'Request #2'!Y21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89" t="str">
        <f>IF(W21&gt;='Request #2'!AA21,"OK","Alert,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#2'!V22,"OK","Send in Change Order")</f>
        <v>OK</v>
      </c>
      <c r="S22" s="85">
        <v>11</v>
      </c>
      <c r="T22" s="86" t="str">
        <f>'Request #2'!T22</f>
        <v>Other Contracts</v>
      </c>
      <c r="U22" s="218">
        <f>'Request #2'!U22</f>
        <v>0</v>
      </c>
      <c r="V22" s="87">
        <f>'Request #2'!V22</f>
        <v>0</v>
      </c>
      <c r="W22" s="88">
        <f>SUMIF(F7:F79,11,E7:E79)</f>
        <v>0</v>
      </c>
      <c r="X22" s="88">
        <f>'Request #2'!Y22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89" t="str">
        <f>IF(W22&gt;='Request #2'!AA22,"OK","Alert,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#2'!V23,"OK","Send in Change Order")</f>
        <v>OK</v>
      </c>
      <c r="S23" s="85">
        <v>12</v>
      </c>
      <c r="T23" s="86" t="str">
        <f>'Request #2'!T23</f>
        <v>Other Contracts</v>
      </c>
      <c r="U23" s="218">
        <f>'Request #2'!U23</f>
        <v>0</v>
      </c>
      <c r="V23" s="87">
        <f>'Request #2'!V23</f>
        <v>0</v>
      </c>
      <c r="W23" s="88">
        <f>SUMIF(F7:F79,12,E7:E79)</f>
        <v>0</v>
      </c>
      <c r="X23" s="88">
        <f>'Request #2'!Y23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89" t="str">
        <f>IF(W23&gt;='Request #2'!AA23,"OK","Alert,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#2'!V24,"OK","Send in Change Order")</f>
        <v>OK</v>
      </c>
      <c r="S24" s="85">
        <v>13</v>
      </c>
      <c r="T24" s="86" t="str">
        <f>'Request #2'!T24</f>
        <v>Other Contracts</v>
      </c>
      <c r="U24" s="218">
        <f>'Request #2'!U24</f>
        <v>0</v>
      </c>
      <c r="V24" s="87">
        <f>'Request #2'!V24</f>
        <v>0</v>
      </c>
      <c r="W24" s="88">
        <f>SUMIF(F7:F79,13,E7:E79)</f>
        <v>0</v>
      </c>
      <c r="X24" s="88">
        <f>'Request #2'!Y24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89" t="str">
        <f>IF(W24&gt;='Request #2'!AA24,"OK","Alert,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#2'!V25,"OK","Send in Change Order")</f>
        <v>OK</v>
      </c>
      <c r="S25" s="85">
        <v>14</v>
      </c>
      <c r="T25" s="86" t="str">
        <f>'Request #2'!T25</f>
        <v>Other Contracts</v>
      </c>
      <c r="U25" s="218"/>
      <c r="V25" s="87">
        <f>'Request #2'!V25</f>
        <v>0</v>
      </c>
      <c r="W25" s="88">
        <f>SUMIF(F7:F79,14,E7:E79)</f>
        <v>0</v>
      </c>
      <c r="X25" s="88">
        <f>'Request #2'!Y25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89" t="str">
        <f>IF(W25&gt;='Request #2'!AA25,"OK","Alert,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#2'!V26,"OK","Send in Change Order")</f>
        <v>OK</v>
      </c>
      <c r="S26" s="85">
        <v>15</v>
      </c>
      <c r="T26" s="86" t="str">
        <f>'Request #2'!T26</f>
        <v>Other Contracts</v>
      </c>
      <c r="U26" s="218">
        <f>'Request #2'!U26</f>
        <v>0</v>
      </c>
      <c r="V26" s="87">
        <f>'Request #2'!V26</f>
        <v>0</v>
      </c>
      <c r="W26" s="88">
        <f>SUMIF(F7:F79,15,E7:E79)</f>
        <v>0</v>
      </c>
      <c r="X26" s="88">
        <f>'Request #2'!Y26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89" t="str">
        <f>IF(W26&gt;='Request #2'!AA26,"OK","Alert,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#2'!V27,"OK","Send in Change Order")</f>
        <v>OK</v>
      </c>
      <c r="S27" s="85">
        <v>16</v>
      </c>
      <c r="T27" s="86" t="str">
        <f>'Request #2'!T27</f>
        <v>Other Contracts</v>
      </c>
      <c r="U27" s="218">
        <f>'Request #2'!U27</f>
        <v>0</v>
      </c>
      <c r="V27" s="87">
        <f>'Request #2'!V27</f>
        <v>0</v>
      </c>
      <c r="W27" s="88">
        <f>SUMIF(F7:F79,16,E7:E79)</f>
        <v>0</v>
      </c>
      <c r="X27" s="88">
        <f>'Request #2'!Y27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89" t="str">
        <f>IF(W27&gt;='Request #2'!AA27,"OK","Alert,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#2'!V28,"OK","Send in Change Order")</f>
        <v>OK</v>
      </c>
      <c r="S28" s="85">
        <v>17</v>
      </c>
      <c r="T28" s="86" t="str">
        <f>'Request #2'!T28</f>
        <v>Other Contracts</v>
      </c>
      <c r="U28" s="218">
        <f>'Request #2'!U28</f>
        <v>0</v>
      </c>
      <c r="V28" s="87">
        <f>'Request #2'!V28</f>
        <v>0</v>
      </c>
      <c r="W28" s="88">
        <f>SUMIF(F7:F79,17,E7:E79)</f>
        <v>0</v>
      </c>
      <c r="X28" s="88">
        <f>'Request #2'!Y28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89" t="str">
        <f>IF(W28&gt;='Request #2'!AA28,"OK","Alert,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#2'!V29,"OK","Send in Change Order")</f>
        <v>OK</v>
      </c>
      <c r="S29" s="85">
        <v>18</v>
      </c>
      <c r="T29" s="86" t="str">
        <f>'Request #2'!T29</f>
        <v>Other Contracts</v>
      </c>
      <c r="U29" s="218">
        <f>'Request #2'!U29</f>
        <v>0</v>
      </c>
      <c r="V29" s="87">
        <f>'Request #2'!V29</f>
        <v>0</v>
      </c>
      <c r="W29" s="88">
        <f>SUMIF(F7:F79,18,E7:E79)</f>
        <v>0</v>
      </c>
      <c r="X29" s="88">
        <f>'Request #2'!Y29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89" t="str">
        <f>IF(W29&gt;='Request #2'!AA29,"OK","Alert,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#2'!V30,"OK","Send in Change Order")</f>
        <v>OK</v>
      </c>
      <c r="S30" s="85">
        <v>19</v>
      </c>
      <c r="T30" s="86" t="str">
        <f>'Request #2'!T30</f>
        <v>Other Contracts</v>
      </c>
      <c r="U30" s="218">
        <f>'Request #2'!U30</f>
        <v>0</v>
      </c>
      <c r="V30" s="87">
        <f>'Request #2'!V30</f>
        <v>0</v>
      </c>
      <c r="W30" s="88">
        <f>SUMIF(F7:F79,19,E7:E79)</f>
        <v>0</v>
      </c>
      <c r="X30" s="88">
        <f>'Request #2'!Y30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89" t="str">
        <f>IF(W30&gt;='Request #2'!AA30,"OK","Alert,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#2'!V31,"OK","Send in Change Order")</f>
        <v>OK</v>
      </c>
      <c r="S31" s="85">
        <v>20</v>
      </c>
      <c r="T31" s="86" t="str">
        <f>'Request #2'!T31</f>
        <v>Other Contracts</v>
      </c>
      <c r="U31" s="218">
        <f>'Request #2'!U31</f>
        <v>0</v>
      </c>
      <c r="V31" s="87">
        <f>'Request #2'!V31</f>
        <v>0</v>
      </c>
      <c r="W31" s="88">
        <f>SUMIF(F7:F79,20,E7:E79)</f>
        <v>0</v>
      </c>
      <c r="X31" s="88">
        <f>'Request #2'!Y31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89" t="str">
        <f>IF(W31&gt;='Request #2'!AA31,"OK","Alert,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#2'!V32,"OK","Send in Change Order")</f>
        <v>OK</v>
      </c>
      <c r="S32" s="85">
        <v>21</v>
      </c>
      <c r="T32" s="86" t="str">
        <f>'Request #2'!T32</f>
        <v>Other Contracts</v>
      </c>
      <c r="U32" s="218">
        <f>'Request #2'!U32</f>
        <v>0</v>
      </c>
      <c r="V32" s="87">
        <f>'Request #2'!V32</f>
        <v>0</v>
      </c>
      <c r="W32" s="88">
        <f>SUMIF(F7:F79,21,E7:E79)</f>
        <v>0</v>
      </c>
      <c r="X32" s="88">
        <f>'Request #2'!Y32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89" t="str">
        <f>IF(W32&gt;='Request #2'!AA32,"OK","Alert,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#2'!V33,"OK","Send in Change Order")</f>
        <v>OK</v>
      </c>
      <c r="S33" s="85">
        <v>22</v>
      </c>
      <c r="T33" s="86" t="str">
        <f>'Request #2'!T33</f>
        <v>Other Contracts</v>
      </c>
      <c r="U33" s="218">
        <f>'Request #2'!U33</f>
        <v>0</v>
      </c>
      <c r="V33" s="87">
        <f>'Request #2'!V33</f>
        <v>0</v>
      </c>
      <c r="W33" s="88">
        <f>SUMIF(F7:F79,22,E7:E79)</f>
        <v>0</v>
      </c>
      <c r="X33" s="88">
        <f>'Request #2'!Y33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89" t="str">
        <f>IF(W33&gt;='Request #2'!AA33,"OK","Alert,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#2'!V34,"OK","Send in Change Order")</f>
        <v>OK</v>
      </c>
      <c r="S34" s="85">
        <v>23</v>
      </c>
      <c r="T34" s="86" t="str">
        <f>'Request #2'!T34</f>
        <v>Other Contracts</v>
      </c>
      <c r="U34" s="218">
        <f>'Request #2'!U34</f>
        <v>0</v>
      </c>
      <c r="V34" s="87">
        <f>'Request #2'!V34</f>
        <v>0</v>
      </c>
      <c r="W34" s="88">
        <f>SUMIF(F7:F79,23,E7:E79)</f>
        <v>0</v>
      </c>
      <c r="X34" s="88">
        <f>'Request #2'!Y34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89" t="str">
        <f>IF(W34&gt;='Request #2'!AA34,"OK","Alert,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#2'!V35,"OK","Send in Change Order")</f>
        <v>OK</v>
      </c>
      <c r="S35" s="85">
        <v>24</v>
      </c>
      <c r="T35" s="86" t="str">
        <f>'Request #2'!T35</f>
        <v>Other Contracts</v>
      </c>
      <c r="U35" s="218">
        <f>'Request #2'!U35</f>
        <v>0</v>
      </c>
      <c r="V35" s="87">
        <f>'Request #2'!V35</f>
        <v>0</v>
      </c>
      <c r="W35" s="88">
        <f>SUMIF(F7:F79,24,E7:E79)</f>
        <v>0</v>
      </c>
      <c r="X35" s="88">
        <f>'Request #2'!Y35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89" t="str">
        <f>IF(W35&gt;='Request #2'!AA35,"OK","Alert,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#2'!V36,"OK","Send in Change Order")</f>
        <v>OK</v>
      </c>
      <c r="S36" s="85">
        <v>25</v>
      </c>
      <c r="T36" s="86" t="str">
        <f>'Request #2'!T36</f>
        <v>Other Contracts</v>
      </c>
      <c r="U36" s="218">
        <f>'Request #2'!U36</f>
        <v>0</v>
      </c>
      <c r="V36" s="87">
        <f>'Request #2'!V36</f>
        <v>0</v>
      </c>
      <c r="W36" s="88">
        <f>SUMIF(F7:F79,25,E7:E79)</f>
        <v>0</v>
      </c>
      <c r="X36" s="88">
        <f>'Request #2'!Y36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89" t="str">
        <f>IF(W36&gt;='Request #2'!AA36,"OK","Alert,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#2'!V37,"OK","Send in Change Order")</f>
        <v>OK</v>
      </c>
      <c r="S37" s="85">
        <v>26</v>
      </c>
      <c r="T37" s="86" t="str">
        <f>'Request #2'!T37</f>
        <v>Other Fees</v>
      </c>
      <c r="U37" s="218">
        <f>'Request #2'!U37</f>
        <v>0</v>
      </c>
      <c r="V37" s="87">
        <f>'Request #2'!V37</f>
        <v>0</v>
      </c>
      <c r="W37" s="88">
        <f>SUMIF(F7:F79,26,E7:E79)</f>
        <v>0</v>
      </c>
      <c r="X37" s="88">
        <f>'Request #2'!Y37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89" t="str">
        <f>IF(W37&gt;='Request #2'!AA37,"OK","Alert,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#2'!V38,"OK","Send in Change Order")</f>
        <v>OK</v>
      </c>
      <c r="S38" s="85">
        <v>27</v>
      </c>
      <c r="T38" s="86" t="str">
        <f>'Request #2'!T38</f>
        <v>Other Fees</v>
      </c>
      <c r="U38" s="218">
        <f>'Request #2'!U38</f>
        <v>0</v>
      </c>
      <c r="V38" s="87">
        <f>'Request #2'!V38</f>
        <v>0</v>
      </c>
      <c r="W38" s="88">
        <f>SUMIF(F7:F79,27,E7:E79)</f>
        <v>0</v>
      </c>
      <c r="X38" s="88">
        <f>'Request #2'!Y38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89" t="str">
        <f>IF(W38&gt;='Request #2'!AA38,"OK","Alert,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#2'!V39,"OK","Send in Change Order")</f>
        <v>OK</v>
      </c>
      <c r="S39" s="85">
        <v>28</v>
      </c>
      <c r="T39" s="86" t="str">
        <f>'Request #2'!T39</f>
        <v>Other Fees</v>
      </c>
      <c r="U39" s="218">
        <f>'Request #2'!U39</f>
        <v>0</v>
      </c>
      <c r="V39" s="87">
        <f>'Request #2'!V39</f>
        <v>0</v>
      </c>
      <c r="W39" s="88">
        <f>SUMIF(F7:F79,28,E7:E79)</f>
        <v>0</v>
      </c>
      <c r="X39" s="88">
        <f>'Request #2'!Y39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89" t="str">
        <f>IF(W39&gt;='Request #2'!AA39,"OK","Alert,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#2'!V40,"OK","Send in Change Order")</f>
        <v>OK</v>
      </c>
      <c r="S40" s="85">
        <v>29</v>
      </c>
      <c r="T40" s="86" t="str">
        <f>'Request #2'!T40</f>
        <v>Other Fees</v>
      </c>
      <c r="U40" s="218">
        <f>'Request #2'!U40</f>
        <v>0</v>
      </c>
      <c r="V40" s="87">
        <f>'Request #2'!V40</f>
        <v>0</v>
      </c>
      <c r="W40" s="88">
        <f>SUMIF(F7:F79,29,E7:E79)</f>
        <v>0</v>
      </c>
      <c r="X40" s="88">
        <f>'Request #2'!Y40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89" t="str">
        <f>IF(W40&gt;='Request #2'!AA40,"OK","Alert,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#2'!V41,"OK","Send in Change Order")</f>
        <v>OK</v>
      </c>
      <c r="S41" s="85">
        <v>30</v>
      </c>
      <c r="T41" s="86" t="str">
        <f>'Request #2'!T41</f>
        <v>Other Fees</v>
      </c>
      <c r="U41" s="218">
        <f>'Request #2'!U41</f>
        <v>0</v>
      </c>
      <c r="V41" s="87">
        <f>'Request #2'!V41</f>
        <v>0</v>
      </c>
      <c r="W41" s="88">
        <f>SUMIF(F7:F79,30,E7:E79)</f>
        <v>0</v>
      </c>
      <c r="X41" s="88">
        <f>'Request #2'!Y41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89" t="str">
        <f>IF(W41&gt;='Request #2'!AA41,"OK","Alert, Explain")</f>
        <v>OK</v>
      </c>
      <c r="AE41" s="101"/>
      <c r="AF41" s="92"/>
      <c r="AG41" s="92"/>
    </row>
    <row r="42" spans="1:33" s="12" customFormat="1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J42" s="40"/>
      <c r="K42" s="159"/>
      <c r="L42" s="157"/>
      <c r="M42" s="157"/>
      <c r="N42" s="154"/>
      <c r="O42" s="155"/>
      <c r="P42" s="158"/>
      <c r="Q42" s="40"/>
      <c r="R42" s="50" t="str">
        <f>IF(V42='Request #2'!V42,"OK","Send in Change Order")</f>
        <v>OK</v>
      </c>
      <c r="S42" s="85">
        <v>31</v>
      </c>
      <c r="T42" s="86" t="str">
        <f>'Request #2'!T42</f>
        <v>Other Fees</v>
      </c>
      <c r="U42" s="218">
        <f>'Request #2'!U42</f>
        <v>0</v>
      </c>
      <c r="V42" s="87">
        <f>'Request #2'!V42</f>
        <v>0</v>
      </c>
      <c r="W42" s="88">
        <f>SUMIF(F7:F79,31,E7:E79)</f>
        <v>0</v>
      </c>
      <c r="X42" s="88">
        <f>'Request #2'!Y42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89" t="str">
        <f>IF(W42&gt;='Request #2'!AA42,"OK","Alert, Explain")</f>
        <v>OK</v>
      </c>
      <c r="AC42" s="40"/>
      <c r="AD42" s="39"/>
      <c r="AE42" s="100" t="s">
        <v>8</v>
      </c>
      <c r="AF42" s="92"/>
      <c r="AG42" s="92"/>
    </row>
    <row r="43" spans="1:33" s="12" customFormat="1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J43" s="40"/>
      <c r="K43" s="159"/>
      <c r="L43" s="157"/>
      <c r="M43" s="157"/>
      <c r="N43" s="154"/>
      <c r="O43" s="155"/>
      <c r="P43" s="158"/>
      <c r="Q43" s="40"/>
      <c r="R43" s="50" t="str">
        <f>IF(V43='Request #2'!V43,"OK","Send in Change Order")</f>
        <v>OK</v>
      </c>
      <c r="S43" s="85">
        <v>32</v>
      </c>
      <c r="T43" s="86" t="str">
        <f>'Request #2'!T43</f>
        <v>Other Fees</v>
      </c>
      <c r="U43" s="218">
        <f>'Request #2'!U43</f>
        <v>0</v>
      </c>
      <c r="V43" s="87">
        <f>'Request #2'!V43</f>
        <v>0</v>
      </c>
      <c r="W43" s="88">
        <f>SUMIF(F7:F79,32,E7:E79)</f>
        <v>0</v>
      </c>
      <c r="X43" s="88">
        <f>'Request #2'!Y43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89" t="str">
        <f>IF(W43&gt;='Request #2'!AA43,"OK","Alert, Explain")</f>
        <v>OK</v>
      </c>
      <c r="AC43" s="40"/>
      <c r="AD43" s="39"/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#2'!V44,"OK","Send in Change Order")</f>
        <v>OK</v>
      </c>
      <c r="S44" s="85">
        <v>33</v>
      </c>
      <c r="T44" s="86" t="str">
        <f>'Request #2'!T44</f>
        <v>Other Fees</v>
      </c>
      <c r="U44" s="218">
        <f>'Request #2'!U44</f>
        <v>0</v>
      </c>
      <c r="V44" s="87">
        <f>'Request #2'!V44</f>
        <v>0</v>
      </c>
      <c r="W44" s="88">
        <f>SUMIF(F7:F79,33,E7:E79)</f>
        <v>0</v>
      </c>
      <c r="X44" s="88">
        <f>'Request #2'!Y44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89" t="str">
        <f>IF(W44&gt;='Request #2'!AA44,"OK","Alert,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33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#2'!V49,"OK","Send in Change Order")</f>
        <v>OK</v>
      </c>
      <c r="S49" s="85">
        <v>38</v>
      </c>
      <c r="T49" s="86" t="str">
        <f>'Request #2'!T49</f>
        <v>Other Fees</v>
      </c>
      <c r="U49" s="218">
        <f>'Request #2'!U49</f>
        <v>0</v>
      </c>
      <c r="V49" s="87">
        <f>'Request #2'!V49</f>
        <v>0</v>
      </c>
      <c r="W49" s="88">
        <f>SUMIF(F7:F79,38,E7:E79)</f>
        <v>0</v>
      </c>
      <c r="X49" s="88">
        <f>'Request #2'!Y49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89" t="str">
        <f>IF(W49&gt;='Request #2'!AA49,"OK","Alert, Explain")</f>
        <v>OK</v>
      </c>
    </row>
    <row r="50" spans="1:33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#2'!V50,"OK","Send in Change Order")</f>
        <v>OK</v>
      </c>
      <c r="S50" s="85">
        <v>39</v>
      </c>
      <c r="T50" s="86" t="str">
        <f>'Request #2'!T50</f>
        <v>Other Fees</v>
      </c>
      <c r="U50" s="218">
        <f>'Request #2'!U50</f>
        <v>0</v>
      </c>
      <c r="V50" s="87">
        <f>'Request #2'!V50</f>
        <v>0</v>
      </c>
      <c r="W50" s="88">
        <f>SUMIF(F7:F79,39,E7:E79)</f>
        <v>0</v>
      </c>
      <c r="X50" s="88">
        <f>'Request #2'!Y50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89" t="str">
        <f>IF(W50&gt;='Request #2'!AA50,"OK","Alert, Explain")</f>
        <v>OK</v>
      </c>
    </row>
    <row r="51" spans="1:33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#2'!V51,"OK","Send in Change Order")</f>
        <v>OK</v>
      </c>
      <c r="S51" s="85">
        <v>40</v>
      </c>
      <c r="T51" s="86" t="str">
        <f>'Request #2'!T51</f>
        <v>Other Fees</v>
      </c>
      <c r="U51" s="218">
        <f>'Request #2'!U51</f>
        <v>0</v>
      </c>
      <c r="V51" s="87">
        <f>'Request #2'!V51</f>
        <v>0</v>
      </c>
      <c r="W51" s="88">
        <f>SUMIF(F7:F79,40,E7:E79)</f>
        <v>0</v>
      </c>
      <c r="X51" s="88">
        <f>'Request #2'!Y51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89" t="str">
        <f>IF(W51&gt;='Request #2'!AA51,"OK","Alert, Explain")</f>
        <v>OK</v>
      </c>
    </row>
    <row r="52" spans="1:33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#2'!V52,"OK","Send in Change Order")</f>
        <v>OK</v>
      </c>
      <c r="S52" s="85">
        <v>41</v>
      </c>
      <c r="T52" s="86" t="str">
        <f>'Request #2'!T52</f>
        <v>Other Fees</v>
      </c>
      <c r="U52" s="218">
        <f>'Request #2'!U52</f>
        <v>0</v>
      </c>
      <c r="V52" s="87">
        <f>'Request #2'!V52</f>
        <v>0</v>
      </c>
      <c r="W52" s="88">
        <f>SUMIF(F7:F79,41,E7:E79)</f>
        <v>0</v>
      </c>
      <c r="X52" s="88">
        <f>'Request #2'!Y52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89" t="str">
        <f>IF(W52&gt;='Request #2'!AA52,"OK","Alert, Explain")</f>
        <v>OK</v>
      </c>
    </row>
    <row r="53" spans="1:33" s="5" customFormat="1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J53" s="40"/>
      <c r="K53" s="159"/>
      <c r="L53" s="157"/>
      <c r="M53" s="157"/>
      <c r="N53" s="154"/>
      <c r="O53" s="155"/>
      <c r="P53" s="158"/>
      <c r="Q53" s="40"/>
      <c r="R53" s="50" t="str">
        <f>IF(V53='Request #2'!V53,"OK","Send in Change Order")</f>
        <v>OK</v>
      </c>
      <c r="S53" s="85">
        <v>42</v>
      </c>
      <c r="T53" s="86" t="str">
        <f>'Request #2'!T53</f>
        <v>Other Fees</v>
      </c>
      <c r="U53" s="218">
        <f>'Request #2'!U53</f>
        <v>0</v>
      </c>
      <c r="V53" s="87">
        <f>'Request #2'!V53</f>
        <v>0</v>
      </c>
      <c r="W53" s="88">
        <f>SUMIF(F7:F79,42,E7:E79)</f>
        <v>0</v>
      </c>
      <c r="X53" s="88">
        <f>'Request #2'!Y53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89" t="str">
        <f>IF(W53&gt;='Request #2'!AA53,"OK","Alert, Explain")</f>
        <v>OK</v>
      </c>
      <c r="AC53" s="40"/>
      <c r="AD53" s="39"/>
      <c r="AE53" s="39"/>
      <c r="AF53" s="39"/>
      <c r="AG53" s="39"/>
    </row>
    <row r="54" spans="1:33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#2'!V54,"OK","Send in Change Order")</f>
        <v>OK</v>
      </c>
      <c r="S54" s="85">
        <v>43</v>
      </c>
      <c r="T54" s="86" t="str">
        <f>'Request #2'!T54</f>
        <v>Other Fees</v>
      </c>
      <c r="U54" s="218">
        <f>'Request #2'!U54</f>
        <v>0</v>
      </c>
      <c r="V54" s="87">
        <f>'Request #2'!V54</f>
        <v>0</v>
      </c>
      <c r="W54" s="88">
        <f>SUMIF(F7:F79,43,E7:E79)</f>
        <v>0</v>
      </c>
      <c r="X54" s="88">
        <f>'Request #2'!Y54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89" t="str">
        <f>IF(W54&gt;='Request #2'!AA54,"OK","Alert, Explain")</f>
        <v>OK</v>
      </c>
    </row>
    <row r="55" spans="1:33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#2'!V55,"OK","Send in Change Order")</f>
        <v>OK</v>
      </c>
      <c r="S55" s="85">
        <v>44</v>
      </c>
      <c r="T55" s="86" t="str">
        <f>'Request #2'!T55</f>
        <v>Other Fees</v>
      </c>
      <c r="U55" s="218">
        <f>'Request #2'!U55</f>
        <v>0</v>
      </c>
      <c r="V55" s="87">
        <f>'Request #2'!V55</f>
        <v>0</v>
      </c>
      <c r="W55" s="88">
        <f>SUMIF(F7:F79,44,E7:E79)</f>
        <v>0</v>
      </c>
      <c r="X55" s="88">
        <f>'Request #2'!Y55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89" t="str">
        <f>IF(W55&gt;='Request #2'!AA55,"OK","Alert, Explain")</f>
        <v>OK</v>
      </c>
    </row>
    <row r="56" spans="1:33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#2'!V56,"OK","Send in Change Order")</f>
        <v>OK</v>
      </c>
      <c r="S56" s="85">
        <v>45</v>
      </c>
      <c r="T56" s="86" t="str">
        <f>'Request #2'!T56</f>
        <v>Other Fees</v>
      </c>
      <c r="U56" s="218">
        <f>'Request #2'!U56</f>
        <v>0</v>
      </c>
      <c r="V56" s="87">
        <f>'Request #2'!V56</f>
        <v>0</v>
      </c>
      <c r="W56" s="88">
        <f>SUMIF(F7:F79,45,E7:E79)</f>
        <v>0</v>
      </c>
      <c r="X56" s="88">
        <f>'Request #2'!Y56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89" t="str">
        <f>IF(W56&gt;='Request #2'!AA56,"OK","Alert, Explain")</f>
        <v>OK</v>
      </c>
    </row>
    <row r="57" spans="1:33" s="12" customFormat="1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J57" s="40"/>
      <c r="K57" s="159"/>
      <c r="L57" s="157"/>
      <c r="M57" s="157"/>
      <c r="N57" s="154"/>
      <c r="O57" s="155"/>
      <c r="P57" s="158"/>
      <c r="Q57" s="40"/>
      <c r="R57" s="50" t="str">
        <f>IF(V57='Request #2'!V57,"OK","Send in Change Order")</f>
        <v>OK</v>
      </c>
      <c r="S57" s="85">
        <v>46</v>
      </c>
      <c r="T57" s="86" t="str">
        <f>'Request #2'!T57</f>
        <v>Other Fees</v>
      </c>
      <c r="U57" s="218">
        <f>'Request #2'!U57</f>
        <v>0</v>
      </c>
      <c r="V57" s="87">
        <f>'Request #2'!V57</f>
        <v>0</v>
      </c>
      <c r="W57" s="88">
        <f>SUMIF(F7:F79,46,E7:E79)</f>
        <v>0</v>
      </c>
      <c r="X57" s="88">
        <f>'Request #2'!Y57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89" t="str">
        <f>IF(W57&gt;='Request #2'!AA57,"OK","Alert, Explain")</f>
        <v>OK</v>
      </c>
      <c r="AC57" s="40"/>
      <c r="AD57" s="39"/>
      <c r="AE57" s="39"/>
      <c r="AF57" s="39"/>
      <c r="AG57" s="39"/>
    </row>
    <row r="58" spans="1:33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#2'!V58,"OK","Send in Change Order")</f>
        <v>OK</v>
      </c>
      <c r="S58" s="85">
        <v>47</v>
      </c>
      <c r="T58" s="86" t="str">
        <f>'Request #2'!T58</f>
        <v>Other Fees</v>
      </c>
      <c r="U58" s="218">
        <f>'Request #2'!U58</f>
        <v>0</v>
      </c>
      <c r="V58" s="87">
        <f>'Request #2'!V58</f>
        <v>0</v>
      </c>
      <c r="W58" s="88">
        <f>SUMIF(F7:F79,47,E7:E79)</f>
        <v>0</v>
      </c>
      <c r="X58" s="88">
        <f>'Request #2'!Y58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89" t="str">
        <f>IF(W58&gt;='Request #2'!AA58,"OK","Alert, Explain")</f>
        <v>OK</v>
      </c>
    </row>
    <row r="59" spans="1:33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#2'!V59,"OK","Send in Change Order")</f>
        <v>OK</v>
      </c>
      <c r="S59" s="85">
        <v>48</v>
      </c>
      <c r="T59" s="86" t="str">
        <f>'Request #2'!T59</f>
        <v>Other Fees</v>
      </c>
      <c r="U59" s="218">
        <f>'Request #2'!U59</f>
        <v>0</v>
      </c>
      <c r="V59" s="87">
        <f>'Request #2'!V59</f>
        <v>0</v>
      </c>
      <c r="W59" s="88">
        <f>SUMIF(F7:F79,48,E7:E79)</f>
        <v>0</v>
      </c>
      <c r="X59" s="88">
        <f>'Request #2'!Y59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89" t="str">
        <f>IF(W59&gt;='Request #2'!AA59,"OK","Alert, Explain")</f>
        <v>OK</v>
      </c>
    </row>
    <row r="60" spans="1:33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#2'!V60,"OK","Send in Change Order")</f>
        <v>OK</v>
      </c>
      <c r="S60" s="85">
        <v>49</v>
      </c>
      <c r="T60" s="86" t="str">
        <f>'Request #2'!T60</f>
        <v>Other Fees</v>
      </c>
      <c r="U60" s="218">
        <f>'Request #2'!U60</f>
        <v>0</v>
      </c>
      <c r="V60" s="87">
        <f>'Request #2'!V60</f>
        <v>0</v>
      </c>
      <c r="W60" s="88">
        <f>SUMIF(F7:F79,49,E7:E79)</f>
        <v>0</v>
      </c>
      <c r="X60" s="88">
        <f>'Request #2'!Y60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89" t="str">
        <f>IF(W60&gt;='Request #2'!AA60,"OK","Alert, Explain")</f>
        <v>OK</v>
      </c>
    </row>
    <row r="61" spans="1:33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#2'!V61,"OK","Send in Change Order")</f>
        <v>OK</v>
      </c>
      <c r="S61" s="85">
        <v>50</v>
      </c>
      <c r="T61" s="86" t="str">
        <f>'Request #2'!T61</f>
        <v>Other Fees</v>
      </c>
      <c r="U61" s="218">
        <f>'Request #2'!U61</f>
        <v>0</v>
      </c>
      <c r="V61" s="87">
        <f>'Request #2'!V61</f>
        <v>0</v>
      </c>
      <c r="W61" s="88">
        <f>SUMIF(F7:F79,50,E7:E79)</f>
        <v>0</v>
      </c>
      <c r="X61" s="88">
        <f>'Request #2'!Y61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89" t="str">
        <f>IF(W61&gt;='Request #2'!AA61,"OK","Alert, Explain")</f>
        <v>OK</v>
      </c>
    </row>
    <row r="62" spans="1:33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#2'!V62,"OK","Send in Change Order")</f>
        <v>OK</v>
      </c>
      <c r="S62" s="85">
        <v>51</v>
      </c>
      <c r="T62" s="86" t="str">
        <f>'Request #2'!T62</f>
        <v>Other Fees</v>
      </c>
      <c r="U62" s="218">
        <f>'Request #2'!U62</f>
        <v>0</v>
      </c>
      <c r="V62" s="87">
        <f>'Request #2'!V62</f>
        <v>0</v>
      </c>
      <c r="W62" s="88">
        <f>SUMIF(F7:F79,51,E7:E79)</f>
        <v>0</v>
      </c>
      <c r="X62" s="88">
        <f>'Request #2'!Y62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89" t="str">
        <f>IF(W62&gt;='Request #2'!AA62,"OK","Alert, Explain")</f>
        <v>OK</v>
      </c>
    </row>
    <row r="63" spans="1:33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#2'!V63,"OK","Send in Change Order")</f>
        <v>OK</v>
      </c>
      <c r="S63" s="85">
        <v>52</v>
      </c>
      <c r="T63" s="86" t="str">
        <f>'Request #2'!T63</f>
        <v>Worked Performed by Owner</v>
      </c>
      <c r="U63" s="218">
        <f>'Request #2'!U63</f>
        <v>0</v>
      </c>
      <c r="V63" s="87">
        <f>'Request #2'!V63</f>
        <v>0</v>
      </c>
      <c r="W63" s="88">
        <f>SUMIF(F7:F79,52,E7:E79)</f>
        <v>0</v>
      </c>
      <c r="X63" s="88">
        <f>'Request #2'!Y63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89" t="str">
        <f>IF(W63&gt;='Request #2'!AA63,"OK","Alert, Explain")</f>
        <v>OK</v>
      </c>
    </row>
    <row r="64" spans="1:33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#2'!V64,"OK","Send in Change Order")</f>
        <v>OK</v>
      </c>
      <c r="S64" s="85">
        <v>53</v>
      </c>
      <c r="T64" s="86" t="str">
        <f>'Request #2'!T64</f>
        <v>Equipment (Major)</v>
      </c>
      <c r="U64" s="218">
        <f>'Request #2'!U64</f>
        <v>0</v>
      </c>
      <c r="V64" s="87">
        <f>'Request #2'!V64</f>
        <v>0</v>
      </c>
      <c r="W64" s="88">
        <f>SUMIF(F7:F79,53,E7:E79)</f>
        <v>0</v>
      </c>
      <c r="X64" s="88">
        <f>'Request #2'!Y64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89" t="str">
        <f>IF(W64&gt;='Request #2'!AA64,"OK","Alert,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#2'!V65,"OK","Send in Change Order")</f>
        <v>OK</v>
      </c>
      <c r="S65" s="85">
        <v>54</v>
      </c>
      <c r="T65" s="102" t="s">
        <v>90</v>
      </c>
      <c r="U65" s="218">
        <f>'Request #2'!U65</f>
        <v>0</v>
      </c>
      <c r="V65" s="87">
        <f>'Request #2'!V65</f>
        <v>0</v>
      </c>
      <c r="W65" s="104"/>
      <c r="X65" s="88">
        <f>'Request #2'!Y65</f>
        <v>0</v>
      </c>
      <c r="Y65" s="88">
        <f t="shared" si="2"/>
        <v>0</v>
      </c>
      <c r="Z65" s="88">
        <f t="shared" si="3"/>
        <v>0</v>
      </c>
      <c r="AA65" s="104"/>
      <c r="AB65" s="89" t="str">
        <f>IF(W65&gt;='Request #2'!AA65,"OK","Alert,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#2'!V66,"OK","Send in Change Order")</f>
        <v>OK</v>
      </c>
      <c r="S66" s="85">
        <v>55</v>
      </c>
      <c r="T66" s="86"/>
      <c r="U66" s="218">
        <f>'Request #2'!U66</f>
        <v>0</v>
      </c>
      <c r="V66" s="87">
        <f>'Request #2'!V66</f>
        <v>0</v>
      </c>
      <c r="W66" s="88">
        <f>SUMIF(F7:F79,55,E7:E79)</f>
        <v>0</v>
      </c>
      <c r="X66" s="88">
        <f>'Request #2'!Y66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89" t="str">
        <f>IF(W66&gt;='Request #2'!AA66,"OK","Alert,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#2'!V67,"OK","Send in Change Order")</f>
        <v>OK</v>
      </c>
      <c r="S67" s="85">
        <v>56</v>
      </c>
      <c r="T67" s="79"/>
      <c r="U67" s="218">
        <f>'Request #2'!U67</f>
        <v>0</v>
      </c>
      <c r="V67" s="87">
        <f>'Request #2'!V67</f>
        <v>0</v>
      </c>
      <c r="W67" s="88">
        <f>SUMIF(F7:F79,56,E7:E79)</f>
        <v>0</v>
      </c>
      <c r="X67" s="88">
        <f>'Request #2'!Y67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89" t="str">
        <f>IF(W67&gt;='Request #2'!AA67,"OK","Alert,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#2'!V68,"OK","Send in Change Order")</f>
        <v>OK</v>
      </c>
      <c r="S68" s="316" t="s">
        <v>60</v>
      </c>
      <c r="T68" s="317"/>
      <c r="U68" s="166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89" t="str">
        <f>IF(W68&gt;='Request #2'!AA68,"OK","Alert,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09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167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10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11" t="e">
        <f>V72/V68</f>
        <v>#DIV/0!</v>
      </c>
      <c r="V72" s="88">
        <f>V68-V74-V73</f>
        <v>0</v>
      </c>
      <c r="W72" s="87">
        <v>0</v>
      </c>
      <c r="X72" s="88">
        <f>'Request #2'!Y72</f>
        <v>0</v>
      </c>
      <c r="Y72" s="88">
        <f t="shared" ref="Y72:Y73" si="8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#2'!V73,"OK","Send in Change Order")</f>
        <v>OK</v>
      </c>
      <c r="S73" s="86" t="s">
        <v>95</v>
      </c>
      <c r="T73" s="114"/>
      <c r="U73" s="211" t="e">
        <f>V73/V68</f>
        <v>#DIV/0!</v>
      </c>
      <c r="V73" s="87">
        <f>'Request #2'!V73</f>
        <v>0</v>
      </c>
      <c r="W73" s="87">
        <v>0</v>
      </c>
      <c r="X73" s="88">
        <f>'Request #2'!Y73</f>
        <v>0</v>
      </c>
      <c r="Y73" s="88">
        <f t="shared" si="8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#2'!V74,"OK","Send in Change Order")</f>
        <v>OK</v>
      </c>
      <c r="S74" s="120" t="s">
        <v>96</v>
      </c>
      <c r="T74" s="121"/>
      <c r="U74" s="211" t="e">
        <f>V74/V68</f>
        <v>#DIV/0!</v>
      </c>
      <c r="V74" s="87">
        <f>'Request #2'!V74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77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12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13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13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14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SUM(E45:E79)</f>
        <v>0</v>
      </c>
      <c r="F80" s="158"/>
      <c r="G80" s="192"/>
      <c r="K80" s="160" t="s">
        <v>107</v>
      </c>
      <c r="L80" s="161"/>
      <c r="M80" s="162"/>
      <c r="N80" s="161"/>
      <c r="O80" s="163">
        <f>SUM(O45:O79)</f>
        <v>0</v>
      </c>
      <c r="P80" s="158"/>
      <c r="S80" s="137"/>
      <c r="T80" s="55"/>
      <c r="U80" s="77"/>
      <c r="V80" s="55"/>
      <c r="W80" s="55"/>
      <c r="X80" s="138"/>
      <c r="Y80" s="45" t="s">
        <v>108</v>
      </c>
      <c r="Z80" s="43"/>
      <c r="AA80" s="88">
        <f>'Request #2'!AA79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3</v>
      </c>
      <c r="V87" s="55"/>
      <c r="W87" s="55"/>
      <c r="X87" s="138"/>
      <c r="Y87" s="45" t="s">
        <v>108</v>
      </c>
      <c r="Z87" s="43"/>
      <c r="AA87" s="88">
        <f>'Request #2'!AA86</f>
        <v>0</v>
      </c>
      <c r="AB87" s="110"/>
    </row>
    <row r="88" spans="1:28" ht="30" customHeight="1" thickBot="1" x14ac:dyDescent="0.35">
      <c r="S88" s="55"/>
      <c r="T88" s="55"/>
      <c r="U88" s="77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77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77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77"/>
      <c r="V91" s="55"/>
      <c r="W91" s="55"/>
      <c r="X91" s="55"/>
    </row>
    <row r="92" spans="1:28" ht="30" customHeight="1" x14ac:dyDescent="0.3">
      <c r="S92" s="55"/>
      <c r="T92" s="55"/>
      <c r="U92" s="77"/>
      <c r="V92" s="55"/>
      <c r="W92" s="55"/>
      <c r="X92" s="55"/>
    </row>
    <row r="93" spans="1:28" ht="30" customHeight="1" x14ac:dyDescent="0.3">
      <c r="S93" s="55"/>
      <c r="T93" s="55"/>
      <c r="U93" s="77"/>
      <c r="V93" s="55"/>
      <c r="W93" s="55"/>
      <c r="X93" s="55"/>
    </row>
    <row r="94" spans="1:28" ht="30" customHeight="1" x14ac:dyDescent="0.3">
      <c r="S94" s="55"/>
      <c r="T94" s="55"/>
      <c r="U94" s="77"/>
      <c r="V94" s="55"/>
      <c r="W94" s="55"/>
      <c r="X94" s="55"/>
    </row>
    <row r="95" spans="1:28" ht="30" customHeight="1" x14ac:dyDescent="0.3">
      <c r="S95" s="55"/>
      <c r="T95" s="55"/>
      <c r="U95" s="77"/>
      <c r="V95" s="55"/>
      <c r="W95" s="55"/>
      <c r="X95" s="55"/>
    </row>
    <row r="96" spans="1:28" ht="30" customHeight="1" x14ac:dyDescent="0.3">
      <c r="S96" s="55"/>
      <c r="T96" s="55"/>
      <c r="U96" s="77"/>
      <c r="V96" s="55"/>
      <c r="W96" s="55"/>
      <c r="X96" s="55"/>
    </row>
    <row r="97" spans="15:24" ht="30" customHeight="1" x14ac:dyDescent="0.3">
      <c r="S97" s="55"/>
      <c r="T97" s="55"/>
      <c r="U97" s="77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tnidz796nsGjbfqjRq9nTCWdh3/1hErFcxRqdikHP9N/I8FE8VgJmp1uAztzew+0/cggHqWSubUejg6xqQm2Sg==" saltValue="7aESFYDIOHEk4CK58gkDyA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414" priority="9" operator="containsText" text="Change">
      <formula>NOT(ISERROR(SEARCH("Change",R1)))</formula>
    </cfRule>
  </conditionalFormatting>
  <conditionalFormatting sqref="R45:R48">
    <cfRule type="cellIs" dxfId="413" priority="7" operator="equal">
      <formula>"Send in Change Order"</formula>
    </cfRule>
  </conditionalFormatting>
  <conditionalFormatting sqref="W68">
    <cfRule type="cellIs" dxfId="412" priority="2" operator="notEqual">
      <formula>$E$82</formula>
    </cfRule>
    <cfRule type="cellIs" dxfId="411" priority="3" operator="greaterThan">
      <formula>$E$82</formula>
    </cfRule>
    <cfRule type="cellIs" dxfId="410" priority="4" operator="notEqual">
      <formula>$E$82</formula>
    </cfRule>
  </conditionalFormatting>
  <conditionalFormatting sqref="Z12:Z44">
    <cfRule type="cellIs" dxfId="409" priority="8" operator="lessThan">
      <formula>0</formula>
    </cfRule>
  </conditionalFormatting>
  <conditionalFormatting sqref="Z49:Z68">
    <cfRule type="cellIs" dxfId="408" priority="5" operator="lessThan">
      <formula>0</formula>
    </cfRule>
  </conditionalFormatting>
  <conditionalFormatting sqref="AA68">
    <cfRule type="cellIs" dxfId="407" priority="1" operator="notEqual">
      <formula>$O$82</formula>
    </cfRule>
  </conditionalFormatting>
  <conditionalFormatting sqref="AB1:AB1048576">
    <cfRule type="containsText" dxfId="406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1" manualBreakCount="11">
    <brk id="6" max="88" man="1"/>
    <brk id="10" max="1048575" man="1"/>
    <brk id="16" max="1048575" man="1"/>
    <brk id="18" max="88" man="1"/>
    <brk id="27" max="88" man="1"/>
    <brk id="29" max="1048575" man="1"/>
    <brk id="52" max="1048575" man="1"/>
    <brk id="99" max="94" man="1"/>
    <brk id="101" max="1048575" man="1"/>
    <brk id="110" max="1048575" man="1"/>
    <brk id="111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2187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21875" style="50" customWidth="1"/>
    <col min="19" max="19" width="6.109375" style="39" customWidth="1"/>
    <col min="20" max="20" width="31.109375" style="39" customWidth="1"/>
    <col min="21" max="21" width="17.77734375" style="219" customWidth="1"/>
    <col min="22" max="27" width="18.88671875" style="39" customWidth="1"/>
    <col min="28" max="28" width="24.3320312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220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39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220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220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195" t="s">
        <v>35</v>
      </c>
      <c r="H6" s="196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221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197">
        <f>S12</f>
        <v>1</v>
      </c>
      <c r="H7" s="198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197">
        <f t="shared" ref="G8:I23" si="0">S13</f>
        <v>2</v>
      </c>
      <c r="H8" s="198" t="str">
        <f t="shared" si="0"/>
        <v>General Contract</v>
      </c>
      <c r="I8" s="247">
        <f t="shared" si="0"/>
        <v>0</v>
      </c>
      <c r="K8" s="152"/>
      <c r="L8" s="157"/>
      <c r="M8" s="157"/>
      <c r="N8" s="154"/>
      <c r="O8" s="155"/>
      <c r="P8" s="158"/>
      <c r="S8" s="66"/>
      <c r="T8" s="67"/>
      <c r="U8" s="222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197">
        <f t="shared" si="0"/>
        <v>3</v>
      </c>
      <c r="H9" s="198" t="str">
        <f t="shared" si="0"/>
        <v>Architect Contract</v>
      </c>
      <c r="I9" s="247">
        <f t="shared" si="0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23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39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197">
        <f t="shared" si="0"/>
        <v>4</v>
      </c>
      <c r="H10" s="198" t="str">
        <f t="shared" si="0"/>
        <v>Architect Reimbursables</v>
      </c>
      <c r="I10" s="247">
        <f t="shared" si="0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197">
        <f t="shared" si="0"/>
        <v>5</v>
      </c>
      <c r="H11" s="198" t="str">
        <f t="shared" si="0"/>
        <v>Other Contracts</v>
      </c>
      <c r="I11" s="247">
        <f t="shared" si="0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218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197">
        <f t="shared" si="0"/>
        <v>6</v>
      </c>
      <c r="H12" s="198" t="str">
        <f t="shared" si="0"/>
        <v>Other Contracts</v>
      </c>
      <c r="I12" s="247">
        <f t="shared" si="0"/>
        <v>0</v>
      </c>
      <c r="K12" s="152"/>
      <c r="L12" s="157"/>
      <c r="M12" s="157"/>
      <c r="N12" s="154"/>
      <c r="O12" s="155"/>
      <c r="P12" s="158"/>
      <c r="R12" s="50" t="str">
        <f>IF(V12='Request #38'!V12,"OK","Send in Change Order")</f>
        <v>OK</v>
      </c>
      <c r="S12" s="85">
        <v>1</v>
      </c>
      <c r="T12" s="86" t="str">
        <f>'Request #35'!T12</f>
        <v>Land/Site Grading &amp; Improv.</v>
      </c>
      <c r="U12" s="218">
        <f>'Request #38'!U12</f>
        <v>0</v>
      </c>
      <c r="V12" s="87">
        <f>'Request #38'!V12</f>
        <v>0</v>
      </c>
      <c r="W12" s="88">
        <f>SUMIF(F7:F79,1,E7:E79)</f>
        <v>0</v>
      </c>
      <c r="X12" s="88">
        <f>'Request #38'!Y12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#38'!AA12,"OK","Alert,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197">
        <f t="shared" si="0"/>
        <v>7</v>
      </c>
      <c r="H13" s="198" t="str">
        <f t="shared" si="0"/>
        <v>Other Contracts</v>
      </c>
      <c r="I13" s="247">
        <f t="shared" si="0"/>
        <v>0</v>
      </c>
      <c r="K13" s="152"/>
      <c r="L13" s="157"/>
      <c r="M13" s="157"/>
      <c r="N13" s="154"/>
      <c r="O13" s="155"/>
      <c r="P13" s="158"/>
      <c r="R13" s="50" t="str">
        <f>IF(V13='Request #38'!V13,"OK","Send in Change Order")</f>
        <v>OK</v>
      </c>
      <c r="S13" s="85">
        <v>2</v>
      </c>
      <c r="T13" s="86" t="s">
        <v>122</v>
      </c>
      <c r="U13" s="218">
        <f>'Request #38'!U13</f>
        <v>0</v>
      </c>
      <c r="V13" s="87">
        <f>'Request #38'!V13</f>
        <v>0</v>
      </c>
      <c r="W13" s="88">
        <f>SUMIF(F7:F79,2,E7:E79)</f>
        <v>0</v>
      </c>
      <c r="X13" s="88">
        <f>'Request #38'!Y13</f>
        <v>0</v>
      </c>
      <c r="Y13" s="88">
        <f t="shared" ref="Y13:Y67" si="1">W13+X13</f>
        <v>0</v>
      </c>
      <c r="Z13" s="88">
        <f t="shared" ref="Z13:Z67" si="2">V13-Y13</f>
        <v>0</v>
      </c>
      <c r="AA13" s="88">
        <f>SUMIF(P7:P79,2,O7:O79)</f>
        <v>0</v>
      </c>
      <c r="AB13" s="50" t="str">
        <f>IF(W13&gt;='Request #38'!AA13,"OK","Alert,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197">
        <f t="shared" si="0"/>
        <v>8</v>
      </c>
      <c r="H14" s="198" t="str">
        <f t="shared" si="0"/>
        <v>Other Contracts</v>
      </c>
      <c r="I14" s="247">
        <f t="shared" si="0"/>
        <v>0</v>
      </c>
      <c r="K14" s="159"/>
      <c r="L14" s="157"/>
      <c r="M14" s="157"/>
      <c r="N14" s="154"/>
      <c r="O14" s="155"/>
      <c r="P14" s="158"/>
      <c r="R14" s="50" t="str">
        <f>IF(V14='Request #38'!V14,"OK","Send in Change Order")</f>
        <v>OK</v>
      </c>
      <c r="S14" s="85">
        <v>3</v>
      </c>
      <c r="T14" s="86" t="s">
        <v>123</v>
      </c>
      <c r="U14" s="218">
        <f>'Request #38'!U14</f>
        <v>0</v>
      </c>
      <c r="V14" s="87">
        <f>'Request #38'!V14</f>
        <v>0</v>
      </c>
      <c r="W14" s="88">
        <f>SUMIF(F7:F79,3,E7:E79)</f>
        <v>0</v>
      </c>
      <c r="X14" s="88">
        <f>'Request #38'!Y14</f>
        <v>0</v>
      </c>
      <c r="Y14" s="88">
        <f t="shared" si="1"/>
        <v>0</v>
      </c>
      <c r="Z14" s="88">
        <f t="shared" si="2"/>
        <v>0</v>
      </c>
      <c r="AA14" s="88">
        <f>SUMIF(P7:P79,3,O7:O79)</f>
        <v>0</v>
      </c>
      <c r="AB14" s="50" t="str">
        <f>IF(W14&gt;='Request #38'!AA14,"OK","Alert,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197">
        <f t="shared" si="0"/>
        <v>9</v>
      </c>
      <c r="H15" s="198" t="str">
        <f t="shared" si="0"/>
        <v>Other Contracts</v>
      </c>
      <c r="I15" s="247">
        <f t="shared" si="0"/>
        <v>0</v>
      </c>
      <c r="K15" s="159"/>
      <c r="L15" s="157"/>
      <c r="M15" s="157"/>
      <c r="N15" s="154"/>
      <c r="O15" s="155"/>
      <c r="P15" s="158"/>
      <c r="R15" s="50" t="str">
        <f>IF(V15='Request #38'!V15,"OK","Send in Change Order")</f>
        <v>OK</v>
      </c>
      <c r="S15" s="85">
        <v>4</v>
      </c>
      <c r="T15" s="86" t="s">
        <v>124</v>
      </c>
      <c r="U15" s="218">
        <f>'Request #38'!U15</f>
        <v>0</v>
      </c>
      <c r="V15" s="87">
        <f>'Request #38'!V15</f>
        <v>0</v>
      </c>
      <c r="W15" s="88">
        <f>SUMIF(F7:F79,4,E7:E79)</f>
        <v>0</v>
      </c>
      <c r="X15" s="88">
        <f>'Request #38'!Y15</f>
        <v>0</v>
      </c>
      <c r="Y15" s="88">
        <f t="shared" si="1"/>
        <v>0</v>
      </c>
      <c r="Z15" s="88">
        <f t="shared" si="2"/>
        <v>0</v>
      </c>
      <c r="AA15" s="88">
        <f>SUMIF(P7:P79,4,O7:O79)</f>
        <v>0</v>
      </c>
      <c r="AB15" s="50" t="str">
        <f>IF(W15&gt;='Request #38'!AA15,"OK","Alert,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197">
        <f t="shared" si="0"/>
        <v>10</v>
      </c>
      <c r="H16" s="198" t="str">
        <f t="shared" si="0"/>
        <v>Other Contracts</v>
      </c>
      <c r="I16" s="247">
        <f t="shared" si="0"/>
        <v>0</v>
      </c>
      <c r="K16" s="152"/>
      <c r="L16" s="157"/>
      <c r="M16" s="157"/>
      <c r="N16" s="154"/>
      <c r="O16" s="155"/>
      <c r="P16" s="158"/>
      <c r="R16" s="50" t="str">
        <f>IF(V16='Request #38'!V16,"OK","Send in Change Order")</f>
        <v>OK</v>
      </c>
      <c r="S16" s="85">
        <v>5</v>
      </c>
      <c r="T16" s="86" t="s">
        <v>71</v>
      </c>
      <c r="U16" s="218">
        <f>'Request #38'!U16</f>
        <v>0</v>
      </c>
      <c r="V16" s="87">
        <f>'Request #38'!V16</f>
        <v>0</v>
      </c>
      <c r="W16" s="88">
        <f>SUMIF(F7:F79,5,E7:E79)</f>
        <v>0</v>
      </c>
      <c r="X16" s="88">
        <f>'Request #38'!Y16</f>
        <v>0</v>
      </c>
      <c r="Y16" s="88">
        <f t="shared" si="1"/>
        <v>0</v>
      </c>
      <c r="Z16" s="88">
        <f t="shared" si="2"/>
        <v>0</v>
      </c>
      <c r="AA16" s="88">
        <f>SUMIF(P7:P79,5,O7:O79)</f>
        <v>0</v>
      </c>
      <c r="AB16" s="50" t="str">
        <f>IF(W16&gt;='Request #38'!AA16,"OK","Alert,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197">
        <f t="shared" si="0"/>
        <v>11</v>
      </c>
      <c r="H17" s="198" t="str">
        <f t="shared" si="0"/>
        <v>Other Contracts</v>
      </c>
      <c r="I17" s="247">
        <f t="shared" si="0"/>
        <v>0</v>
      </c>
      <c r="K17" s="152"/>
      <c r="L17" s="157"/>
      <c r="M17" s="157"/>
      <c r="N17" s="154"/>
      <c r="O17" s="155"/>
      <c r="P17" s="158"/>
      <c r="R17" s="50" t="str">
        <f>IF(V17='Request #38'!V17,"OK","Send in Change Order")</f>
        <v>OK</v>
      </c>
      <c r="S17" s="85">
        <v>6</v>
      </c>
      <c r="T17" s="86" t="s">
        <v>71</v>
      </c>
      <c r="U17" s="218">
        <f>'Request #38'!U17</f>
        <v>0</v>
      </c>
      <c r="V17" s="87">
        <f>'Request #38'!V17</f>
        <v>0</v>
      </c>
      <c r="W17" s="88">
        <f>SUMIF(F7:F79,6,E7:E79)</f>
        <v>0</v>
      </c>
      <c r="X17" s="88">
        <f>'Request #38'!Y17</f>
        <v>0</v>
      </c>
      <c r="Y17" s="88">
        <f t="shared" si="1"/>
        <v>0</v>
      </c>
      <c r="Z17" s="88">
        <f t="shared" si="2"/>
        <v>0</v>
      </c>
      <c r="AA17" s="88">
        <f>SUMIF(P7:P79,6,O7:O79)</f>
        <v>0</v>
      </c>
      <c r="AB17" s="50" t="str">
        <f>IF(W17&gt;='Request #38'!AA17,"OK","Alert,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197">
        <f t="shared" si="0"/>
        <v>12</v>
      </c>
      <c r="H18" s="198" t="str">
        <f t="shared" si="0"/>
        <v>Other Contracts</v>
      </c>
      <c r="I18" s="247">
        <f t="shared" si="0"/>
        <v>0</v>
      </c>
      <c r="K18" s="152"/>
      <c r="L18" s="157"/>
      <c r="M18" s="157"/>
      <c r="N18" s="154"/>
      <c r="O18" s="155"/>
      <c r="P18" s="158"/>
      <c r="R18" s="50" t="str">
        <f>IF(V18='Request #38'!V18,"OK","Send in Change Order")</f>
        <v>OK</v>
      </c>
      <c r="S18" s="85">
        <v>7</v>
      </c>
      <c r="T18" s="86" t="s">
        <v>71</v>
      </c>
      <c r="U18" s="218">
        <f>'Request #38'!U18</f>
        <v>0</v>
      </c>
      <c r="V18" s="87">
        <f>'Request #38'!V18</f>
        <v>0</v>
      </c>
      <c r="W18" s="88">
        <f>SUMIF(F7:F79,7,E7:E79)</f>
        <v>0</v>
      </c>
      <c r="X18" s="88">
        <f>'Request #38'!Y18</f>
        <v>0</v>
      </c>
      <c r="Y18" s="88">
        <f t="shared" si="1"/>
        <v>0</v>
      </c>
      <c r="Z18" s="88">
        <f t="shared" si="2"/>
        <v>0</v>
      </c>
      <c r="AA18" s="88">
        <f>SUMIF(P7:P79,7,O7:O79)</f>
        <v>0</v>
      </c>
      <c r="AB18" s="50" t="str">
        <f>IF(W18&gt;='Request #38'!AA18,"OK","Alert,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197">
        <f t="shared" si="0"/>
        <v>13</v>
      </c>
      <c r="H19" s="198" t="str">
        <f t="shared" si="0"/>
        <v>Other Contracts</v>
      </c>
      <c r="I19" s="247">
        <f t="shared" si="0"/>
        <v>0</v>
      </c>
      <c r="K19" s="159"/>
      <c r="L19" s="157"/>
      <c r="M19" s="157"/>
      <c r="N19" s="154"/>
      <c r="O19" s="155"/>
      <c r="P19" s="158"/>
      <c r="R19" s="50" t="str">
        <f>IF(V19='Request #38'!V19,"OK","Send in Change Order")</f>
        <v>OK</v>
      </c>
      <c r="S19" s="85">
        <v>8</v>
      </c>
      <c r="T19" s="86" t="s">
        <v>71</v>
      </c>
      <c r="U19" s="218">
        <f>'Request #38'!U19</f>
        <v>0</v>
      </c>
      <c r="V19" s="87">
        <f>'Request #38'!V19</f>
        <v>0</v>
      </c>
      <c r="W19" s="88">
        <f>SUMIF(F7:F79,8,E7:E79)</f>
        <v>0</v>
      </c>
      <c r="X19" s="88">
        <f>'Request #38'!Y19</f>
        <v>0</v>
      </c>
      <c r="Y19" s="88">
        <f t="shared" si="1"/>
        <v>0</v>
      </c>
      <c r="Z19" s="88">
        <f t="shared" si="2"/>
        <v>0</v>
      </c>
      <c r="AA19" s="88">
        <f>SUMIF(P7:P79,8,O7:O79)</f>
        <v>0</v>
      </c>
      <c r="AB19" s="50" t="str">
        <f>IF(W19&gt;='Request #38'!AA19,"OK","Alert,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197">
        <f t="shared" si="0"/>
        <v>14</v>
      </c>
      <c r="H20" s="198" t="str">
        <f t="shared" si="0"/>
        <v>Other Contracts</v>
      </c>
      <c r="I20" s="247">
        <f t="shared" si="0"/>
        <v>0</v>
      </c>
      <c r="K20" s="152"/>
      <c r="L20" s="157"/>
      <c r="M20" s="157"/>
      <c r="N20" s="154"/>
      <c r="O20" s="155"/>
      <c r="P20" s="158"/>
      <c r="R20" s="50" t="str">
        <f>IF(V20='Request #38'!V20,"OK","Send in Change Order")</f>
        <v>OK</v>
      </c>
      <c r="S20" s="85">
        <v>9</v>
      </c>
      <c r="T20" s="86" t="s">
        <v>71</v>
      </c>
      <c r="U20" s="218">
        <f>'Request #38'!U20</f>
        <v>0</v>
      </c>
      <c r="V20" s="87">
        <f>'Request #38'!V20</f>
        <v>0</v>
      </c>
      <c r="W20" s="88">
        <f>SUMIF(F7:F79,9,E7:E79)</f>
        <v>0</v>
      </c>
      <c r="X20" s="88">
        <f>'Request #38'!Y20</f>
        <v>0</v>
      </c>
      <c r="Y20" s="88">
        <f t="shared" si="1"/>
        <v>0</v>
      </c>
      <c r="Z20" s="88">
        <f t="shared" si="2"/>
        <v>0</v>
      </c>
      <c r="AA20" s="88">
        <f>SUMIF(P7:P79,9,O7:O79)</f>
        <v>0</v>
      </c>
      <c r="AB20" s="50" t="str">
        <f>IF(W20&gt;='Request #38'!AA20,"OK","Alert,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197">
        <f t="shared" si="0"/>
        <v>15</v>
      </c>
      <c r="H21" s="198" t="str">
        <f t="shared" si="0"/>
        <v>Other Contracts</v>
      </c>
      <c r="I21" s="247">
        <f t="shared" si="0"/>
        <v>0</v>
      </c>
      <c r="K21" s="159"/>
      <c r="L21" s="157"/>
      <c r="M21" s="157"/>
      <c r="N21" s="154"/>
      <c r="O21" s="155"/>
      <c r="P21" s="158"/>
      <c r="R21" s="50" t="str">
        <f>IF(V21='Request #38'!V21,"OK","Send in Change Order")</f>
        <v>OK</v>
      </c>
      <c r="S21" s="85">
        <v>10</v>
      </c>
      <c r="T21" s="86" t="s">
        <v>71</v>
      </c>
      <c r="U21" s="218">
        <f>'Request #38'!U21</f>
        <v>0</v>
      </c>
      <c r="V21" s="87">
        <f>'Request #38'!V21</f>
        <v>0</v>
      </c>
      <c r="W21" s="88">
        <f>SUMIF(F7:F79,10,E7:E79)</f>
        <v>0</v>
      </c>
      <c r="X21" s="88">
        <f>'Request #38'!Y21</f>
        <v>0</v>
      </c>
      <c r="Y21" s="88">
        <f t="shared" si="1"/>
        <v>0</v>
      </c>
      <c r="Z21" s="88">
        <f t="shared" si="2"/>
        <v>0</v>
      </c>
      <c r="AA21" s="88">
        <f>SUMIF(P7:P79,10,O7:O79)</f>
        <v>0</v>
      </c>
      <c r="AB21" s="50" t="str">
        <f>IF(W21&gt;='Request #38'!AA21,"OK","Alert,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197">
        <f t="shared" si="0"/>
        <v>16</v>
      </c>
      <c r="H22" s="198" t="str">
        <f t="shared" si="0"/>
        <v>Other Contracts</v>
      </c>
      <c r="I22" s="247">
        <f t="shared" si="0"/>
        <v>0</v>
      </c>
      <c r="K22" s="159"/>
      <c r="L22" s="157"/>
      <c r="M22" s="157"/>
      <c r="N22" s="154"/>
      <c r="O22" s="155"/>
      <c r="P22" s="158"/>
      <c r="R22" s="50" t="str">
        <f>IF(V22='Request #38'!V22,"OK","Send in Change Order")</f>
        <v>OK</v>
      </c>
      <c r="S22" s="85">
        <v>11</v>
      </c>
      <c r="T22" s="86" t="s">
        <v>71</v>
      </c>
      <c r="U22" s="218">
        <f>'Request #38'!U22</f>
        <v>0</v>
      </c>
      <c r="V22" s="87">
        <f>'Request #38'!V22</f>
        <v>0</v>
      </c>
      <c r="W22" s="88">
        <f>SUMIF(F7:F79,11,E7:E79)</f>
        <v>0</v>
      </c>
      <c r="X22" s="88">
        <f>'Request #38'!Y22</f>
        <v>0</v>
      </c>
      <c r="Y22" s="88">
        <f t="shared" si="1"/>
        <v>0</v>
      </c>
      <c r="Z22" s="88">
        <f t="shared" si="2"/>
        <v>0</v>
      </c>
      <c r="AA22" s="88">
        <f>SUMIF(P7:P79,11,O7:O79)</f>
        <v>0</v>
      </c>
      <c r="AB22" s="50" t="str">
        <f>IF(W22&gt;='Request #38'!AA22,"OK","Alert,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197">
        <f t="shared" si="0"/>
        <v>17</v>
      </c>
      <c r="H23" s="198" t="str">
        <f t="shared" si="0"/>
        <v>Other Contracts</v>
      </c>
      <c r="I23" s="247">
        <f t="shared" si="0"/>
        <v>0</v>
      </c>
      <c r="K23" s="159"/>
      <c r="L23" s="157"/>
      <c r="M23" s="157"/>
      <c r="N23" s="154"/>
      <c r="O23" s="155"/>
      <c r="P23" s="158"/>
      <c r="R23" s="50" t="str">
        <f>IF(V23='Request #38'!V23,"OK","Send in Change Order")</f>
        <v>OK</v>
      </c>
      <c r="S23" s="85">
        <v>12</v>
      </c>
      <c r="T23" s="86" t="s">
        <v>71</v>
      </c>
      <c r="U23" s="218">
        <f>'Request #38'!U23</f>
        <v>0</v>
      </c>
      <c r="V23" s="87">
        <f>'Request #38'!V23</f>
        <v>0</v>
      </c>
      <c r="W23" s="88">
        <f>SUMIF(F7:F79,12,E7:E79)</f>
        <v>0</v>
      </c>
      <c r="X23" s="88">
        <f>'Request #38'!Y23</f>
        <v>0</v>
      </c>
      <c r="Y23" s="88">
        <f t="shared" si="1"/>
        <v>0</v>
      </c>
      <c r="Z23" s="88">
        <f t="shared" si="2"/>
        <v>0</v>
      </c>
      <c r="AA23" s="88">
        <f>SUMIF(P7:P79,12,O7:O79)</f>
        <v>0</v>
      </c>
      <c r="AB23" s="50" t="str">
        <f>IF(W23&gt;='Request #38'!AA23,"OK","Alert,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197">
        <f t="shared" ref="G24:I39" si="3">S29</f>
        <v>18</v>
      </c>
      <c r="H24" s="198" t="str">
        <f t="shared" si="3"/>
        <v>Other Contracts</v>
      </c>
      <c r="I24" s="247">
        <f t="shared" si="3"/>
        <v>0</v>
      </c>
      <c r="K24" s="159"/>
      <c r="L24" s="157"/>
      <c r="M24" s="157"/>
      <c r="N24" s="154"/>
      <c r="O24" s="155"/>
      <c r="P24" s="158"/>
      <c r="R24" s="50" t="str">
        <f>IF(V24='Request #38'!V24,"OK","Send in Change Order")</f>
        <v>OK</v>
      </c>
      <c r="S24" s="85">
        <v>13</v>
      </c>
      <c r="T24" s="86" t="s">
        <v>71</v>
      </c>
      <c r="U24" s="218">
        <f>'Request #38'!U24</f>
        <v>0</v>
      </c>
      <c r="V24" s="87">
        <f>'Request #38'!V24</f>
        <v>0</v>
      </c>
      <c r="W24" s="88">
        <f>SUMIF(F7:F79,13,E7:E79)</f>
        <v>0</v>
      </c>
      <c r="X24" s="88">
        <f>'Request #38'!Y24</f>
        <v>0</v>
      </c>
      <c r="Y24" s="88">
        <f t="shared" si="1"/>
        <v>0</v>
      </c>
      <c r="Z24" s="88">
        <f t="shared" si="2"/>
        <v>0</v>
      </c>
      <c r="AA24" s="88">
        <f>SUMIF(P7:P79,13,O7:O79)</f>
        <v>0</v>
      </c>
      <c r="AB24" s="50" t="str">
        <f>IF(W24&gt;='Request #38'!AA24,"OK","Alert,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197">
        <f t="shared" si="3"/>
        <v>19</v>
      </c>
      <c r="H25" s="198" t="str">
        <f t="shared" si="3"/>
        <v>Other Contracts</v>
      </c>
      <c r="I25" s="247">
        <f t="shared" si="3"/>
        <v>0</v>
      </c>
      <c r="K25" s="159"/>
      <c r="L25" s="157"/>
      <c r="M25" s="157"/>
      <c r="N25" s="154"/>
      <c r="O25" s="155"/>
      <c r="P25" s="158"/>
      <c r="R25" s="50" t="str">
        <f>IF(V25='Request #38'!V25,"OK","Send in Change Order")</f>
        <v>OK</v>
      </c>
      <c r="S25" s="85">
        <v>14</v>
      </c>
      <c r="T25" s="86" t="s">
        <v>71</v>
      </c>
      <c r="U25" s="218">
        <f>'Request #38'!U25</f>
        <v>0</v>
      </c>
      <c r="V25" s="87">
        <f>'Request #38'!V25</f>
        <v>0</v>
      </c>
      <c r="W25" s="88">
        <f>SUMIF(F7:F79,14,E7:E79)</f>
        <v>0</v>
      </c>
      <c r="X25" s="88">
        <f>'Request #38'!Y25</f>
        <v>0</v>
      </c>
      <c r="Y25" s="88">
        <f t="shared" si="1"/>
        <v>0</v>
      </c>
      <c r="Z25" s="88">
        <f t="shared" si="2"/>
        <v>0</v>
      </c>
      <c r="AA25" s="88">
        <f>SUMIF(P7:P79,14,O7:O79)</f>
        <v>0</v>
      </c>
      <c r="AB25" s="50" t="str">
        <f>IF(W25&gt;='Request #38'!AA25,"OK","Alert,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197">
        <f t="shared" si="3"/>
        <v>20</v>
      </c>
      <c r="H26" s="198" t="str">
        <f t="shared" si="3"/>
        <v>Other Contracts</v>
      </c>
      <c r="I26" s="247">
        <f t="shared" si="3"/>
        <v>0</v>
      </c>
      <c r="K26" s="159"/>
      <c r="L26" s="157"/>
      <c r="M26" s="157"/>
      <c r="N26" s="154"/>
      <c r="O26" s="155"/>
      <c r="P26" s="158"/>
      <c r="R26" s="50" t="str">
        <f>IF(V26='Request #38'!V26,"OK","Send in Change Order")</f>
        <v>OK</v>
      </c>
      <c r="S26" s="85">
        <v>15</v>
      </c>
      <c r="T26" s="86" t="s">
        <v>71</v>
      </c>
      <c r="U26" s="218">
        <f>'Request #38'!U26</f>
        <v>0</v>
      </c>
      <c r="V26" s="87">
        <f>'Request #38'!V26</f>
        <v>0</v>
      </c>
      <c r="W26" s="88">
        <f>SUMIF(F7:F79,15,E7:E79)</f>
        <v>0</v>
      </c>
      <c r="X26" s="88">
        <f>'Request #38'!Y26</f>
        <v>0</v>
      </c>
      <c r="Y26" s="88">
        <f t="shared" si="1"/>
        <v>0</v>
      </c>
      <c r="Z26" s="88">
        <f t="shared" si="2"/>
        <v>0</v>
      </c>
      <c r="AA26" s="88">
        <f>SUMIF(P7:P79,15,O7:O79)</f>
        <v>0</v>
      </c>
      <c r="AB26" s="50" t="str">
        <f>IF(W26&gt;='Request #38'!AA26,"OK","Alert,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197">
        <f t="shared" si="3"/>
        <v>21</v>
      </c>
      <c r="H27" s="198" t="str">
        <f t="shared" si="3"/>
        <v>Other Contracts</v>
      </c>
      <c r="I27" s="247">
        <f t="shared" si="3"/>
        <v>0</v>
      </c>
      <c r="K27" s="159"/>
      <c r="L27" s="157"/>
      <c r="M27" s="157"/>
      <c r="N27" s="154"/>
      <c r="O27" s="155"/>
      <c r="P27" s="158"/>
      <c r="R27" s="50" t="str">
        <f>IF(V27='Request #38'!V27,"OK","Send in Change Order")</f>
        <v>OK</v>
      </c>
      <c r="S27" s="85">
        <v>16</v>
      </c>
      <c r="T27" s="86" t="s">
        <v>71</v>
      </c>
      <c r="U27" s="218">
        <f>'Request #38'!U27</f>
        <v>0</v>
      </c>
      <c r="V27" s="87">
        <f>'Request #38'!V27</f>
        <v>0</v>
      </c>
      <c r="W27" s="88">
        <f>SUMIF(F7:F79,16,E7:E79)</f>
        <v>0</v>
      </c>
      <c r="X27" s="88">
        <f>'Request #38'!Y27</f>
        <v>0</v>
      </c>
      <c r="Y27" s="88">
        <f t="shared" si="1"/>
        <v>0</v>
      </c>
      <c r="Z27" s="88">
        <f t="shared" si="2"/>
        <v>0</v>
      </c>
      <c r="AA27" s="88">
        <f>SUMIF(P7:P79,16,O7:O79)</f>
        <v>0</v>
      </c>
      <c r="AB27" s="50" t="str">
        <f>IF(W27&gt;='Request #38'!AA27,"OK","Alert,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197">
        <f t="shared" si="3"/>
        <v>22</v>
      </c>
      <c r="H28" s="198" t="str">
        <f t="shared" si="3"/>
        <v>Other Contracts</v>
      </c>
      <c r="I28" s="247">
        <f t="shared" si="3"/>
        <v>0</v>
      </c>
      <c r="K28" s="159"/>
      <c r="L28" s="157"/>
      <c r="M28" s="157"/>
      <c r="N28" s="154"/>
      <c r="O28" s="155"/>
      <c r="P28" s="158"/>
      <c r="R28" s="50" t="str">
        <f>IF(V28='Request #38'!V28,"OK","Send in Change Order")</f>
        <v>OK</v>
      </c>
      <c r="S28" s="85">
        <v>17</v>
      </c>
      <c r="T28" s="86" t="s">
        <v>71</v>
      </c>
      <c r="U28" s="218">
        <f>'Request #38'!U28</f>
        <v>0</v>
      </c>
      <c r="V28" s="87">
        <f>'Request #38'!V28</f>
        <v>0</v>
      </c>
      <c r="W28" s="88">
        <f>SUMIF(F7:F79,17,E7:E79)</f>
        <v>0</v>
      </c>
      <c r="X28" s="88">
        <f>'Request #38'!Y28</f>
        <v>0</v>
      </c>
      <c r="Y28" s="88">
        <f t="shared" si="1"/>
        <v>0</v>
      </c>
      <c r="Z28" s="88">
        <f t="shared" si="2"/>
        <v>0</v>
      </c>
      <c r="AA28" s="88">
        <f>SUMIF(P7:P79,17,O7:O79)</f>
        <v>0</v>
      </c>
      <c r="AB28" s="50" t="str">
        <f>IF(W28&gt;='Request #38'!AA28,"OK","Alert,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197">
        <f t="shared" si="3"/>
        <v>23</v>
      </c>
      <c r="H29" s="198" t="str">
        <f t="shared" si="3"/>
        <v>Other Contracts</v>
      </c>
      <c r="I29" s="247">
        <f t="shared" si="3"/>
        <v>0</v>
      </c>
      <c r="K29" s="159"/>
      <c r="L29" s="157"/>
      <c r="M29" s="157"/>
      <c r="N29" s="154"/>
      <c r="O29" s="155"/>
      <c r="P29" s="158"/>
      <c r="R29" s="50" t="str">
        <f>IF(V29='Request #38'!V29,"OK","Send in Change Order")</f>
        <v>OK</v>
      </c>
      <c r="S29" s="85">
        <v>18</v>
      </c>
      <c r="T29" s="86" t="s">
        <v>71</v>
      </c>
      <c r="U29" s="218">
        <f>'Request #38'!U29</f>
        <v>0</v>
      </c>
      <c r="V29" s="87">
        <f>'Request #38'!V29</f>
        <v>0</v>
      </c>
      <c r="W29" s="88">
        <f>SUMIF(F7:F79,18,E7:E79)</f>
        <v>0</v>
      </c>
      <c r="X29" s="88">
        <f>'Request #38'!Y29</f>
        <v>0</v>
      </c>
      <c r="Y29" s="88">
        <f t="shared" si="1"/>
        <v>0</v>
      </c>
      <c r="Z29" s="88">
        <f t="shared" si="2"/>
        <v>0</v>
      </c>
      <c r="AA29" s="88">
        <f>SUMIF(P7:P79,18,O7:O79)</f>
        <v>0</v>
      </c>
      <c r="AB29" s="50" t="str">
        <f>IF(W29&gt;='Request #38'!AA29,"OK","Alert,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197">
        <f t="shared" si="3"/>
        <v>24</v>
      </c>
      <c r="H30" s="198" t="str">
        <f t="shared" si="3"/>
        <v>Other Contracts</v>
      </c>
      <c r="I30" s="247">
        <f t="shared" si="3"/>
        <v>0</v>
      </c>
      <c r="K30" s="159"/>
      <c r="L30" s="157"/>
      <c r="M30" s="157"/>
      <c r="N30" s="154"/>
      <c r="O30" s="155"/>
      <c r="P30" s="158"/>
      <c r="R30" s="50" t="str">
        <f>IF(V30='Request #38'!V30,"OK","Send in Change Order")</f>
        <v>OK</v>
      </c>
      <c r="S30" s="85">
        <v>19</v>
      </c>
      <c r="T30" s="86" t="s">
        <v>71</v>
      </c>
      <c r="U30" s="218">
        <f>'Request #38'!U30</f>
        <v>0</v>
      </c>
      <c r="V30" s="87">
        <f>'Request #38'!V30</f>
        <v>0</v>
      </c>
      <c r="W30" s="88">
        <f>SUMIF(F7:F79,19,E7:E79)</f>
        <v>0</v>
      </c>
      <c r="X30" s="88">
        <f>'Request #38'!Y30</f>
        <v>0</v>
      </c>
      <c r="Y30" s="88">
        <f t="shared" si="1"/>
        <v>0</v>
      </c>
      <c r="Z30" s="88">
        <f t="shared" si="2"/>
        <v>0</v>
      </c>
      <c r="AA30" s="88">
        <f>SUMIF(P7:P79,19,O7:O79)</f>
        <v>0</v>
      </c>
      <c r="AB30" s="50" t="str">
        <f>IF(W30&gt;='Request #38'!AA30,"OK","Alert,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197">
        <f t="shared" si="3"/>
        <v>25</v>
      </c>
      <c r="H31" s="198" t="str">
        <f t="shared" si="3"/>
        <v>Other Contracts</v>
      </c>
      <c r="I31" s="247">
        <f t="shared" si="3"/>
        <v>0</v>
      </c>
      <c r="K31" s="159"/>
      <c r="L31" s="157"/>
      <c r="M31" s="157"/>
      <c r="N31" s="154"/>
      <c r="O31" s="155"/>
      <c r="P31" s="158"/>
      <c r="R31" s="50" t="str">
        <f>IF(V31='Request #38'!V31,"OK","Send in Change Order")</f>
        <v>OK</v>
      </c>
      <c r="S31" s="85">
        <v>20</v>
      </c>
      <c r="T31" s="86" t="s">
        <v>71</v>
      </c>
      <c r="U31" s="218">
        <f>'Request #38'!U31</f>
        <v>0</v>
      </c>
      <c r="V31" s="87">
        <f>'Request #38'!V31</f>
        <v>0</v>
      </c>
      <c r="W31" s="88">
        <f>SUMIF(F7:F79,20,E7:E79)</f>
        <v>0</v>
      </c>
      <c r="X31" s="88">
        <f>'Request #38'!Y31</f>
        <v>0</v>
      </c>
      <c r="Y31" s="88">
        <f t="shared" si="1"/>
        <v>0</v>
      </c>
      <c r="Z31" s="88">
        <f t="shared" si="2"/>
        <v>0</v>
      </c>
      <c r="AA31" s="88">
        <f>SUMIF(P7:P79,20,O7:O79)</f>
        <v>0</v>
      </c>
      <c r="AB31" s="50" t="str">
        <f>IF(W31&gt;='Request #38'!AA31,"OK","Alert,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197">
        <f t="shared" si="3"/>
        <v>26</v>
      </c>
      <c r="H32" s="198" t="str">
        <f t="shared" si="3"/>
        <v>Other Fees</v>
      </c>
      <c r="I32" s="247">
        <f t="shared" si="3"/>
        <v>0</v>
      </c>
      <c r="K32" s="159"/>
      <c r="L32" s="157"/>
      <c r="M32" s="157"/>
      <c r="N32" s="154"/>
      <c r="O32" s="155"/>
      <c r="P32" s="158"/>
      <c r="R32" s="50" t="str">
        <f>IF(V32='Request #38'!V32,"OK","Send in Change Order")</f>
        <v>OK</v>
      </c>
      <c r="S32" s="85">
        <v>21</v>
      </c>
      <c r="T32" s="86" t="s">
        <v>71</v>
      </c>
      <c r="U32" s="218">
        <f>'Request #38'!U32</f>
        <v>0</v>
      </c>
      <c r="V32" s="87">
        <f>'Request #38'!V32</f>
        <v>0</v>
      </c>
      <c r="W32" s="88">
        <f>SUMIF(F7:F79,21,E7:E79)</f>
        <v>0</v>
      </c>
      <c r="X32" s="88">
        <f>'Request #38'!Y32</f>
        <v>0</v>
      </c>
      <c r="Y32" s="88">
        <f t="shared" si="1"/>
        <v>0</v>
      </c>
      <c r="Z32" s="88">
        <f t="shared" si="2"/>
        <v>0</v>
      </c>
      <c r="AA32" s="88">
        <f>SUMIF(P7:P79,21,O7:O79)</f>
        <v>0</v>
      </c>
      <c r="AB32" s="50" t="str">
        <f>IF(W32&gt;='Request #38'!AA32,"OK","Alert,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197">
        <f t="shared" si="3"/>
        <v>27</v>
      </c>
      <c r="H33" s="198" t="str">
        <f t="shared" si="3"/>
        <v>Other Fees</v>
      </c>
      <c r="I33" s="247">
        <f t="shared" si="3"/>
        <v>0</v>
      </c>
      <c r="K33" s="159"/>
      <c r="L33" s="157"/>
      <c r="M33" s="157"/>
      <c r="N33" s="154"/>
      <c r="O33" s="155"/>
      <c r="P33" s="158"/>
      <c r="R33" s="50" t="str">
        <f>IF(V33='Request #38'!V33,"OK","Send in Change Order")</f>
        <v>OK</v>
      </c>
      <c r="S33" s="85">
        <v>22</v>
      </c>
      <c r="T33" s="86" t="s">
        <v>71</v>
      </c>
      <c r="U33" s="218">
        <f>'Request #38'!U33</f>
        <v>0</v>
      </c>
      <c r="V33" s="87">
        <f>'Request #38'!V33</f>
        <v>0</v>
      </c>
      <c r="W33" s="88">
        <f>SUMIF(F7:F79,22,E7:E79)</f>
        <v>0</v>
      </c>
      <c r="X33" s="88">
        <f>'Request #38'!Y33</f>
        <v>0</v>
      </c>
      <c r="Y33" s="88">
        <f t="shared" si="1"/>
        <v>0</v>
      </c>
      <c r="Z33" s="88">
        <f t="shared" si="2"/>
        <v>0</v>
      </c>
      <c r="AA33" s="88">
        <f>SUMIF(P7:P79,22,O7:O79)</f>
        <v>0</v>
      </c>
      <c r="AB33" s="50" t="str">
        <f>IF(W33&gt;='Request #38'!AA33,"OK","Alert,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197">
        <f t="shared" si="3"/>
        <v>28</v>
      </c>
      <c r="H34" s="198" t="str">
        <f t="shared" si="3"/>
        <v>Other Fees</v>
      </c>
      <c r="I34" s="247">
        <f t="shared" si="3"/>
        <v>0</v>
      </c>
      <c r="K34" s="159"/>
      <c r="L34" s="157"/>
      <c r="M34" s="157"/>
      <c r="N34" s="154"/>
      <c r="O34" s="155"/>
      <c r="P34" s="158"/>
      <c r="R34" s="50" t="str">
        <f>IF(V34='Request #38'!V34,"OK","Send in Change Order")</f>
        <v>OK</v>
      </c>
      <c r="S34" s="85">
        <v>23</v>
      </c>
      <c r="T34" s="86" t="s">
        <v>71</v>
      </c>
      <c r="U34" s="218">
        <f>'Request #38'!U34</f>
        <v>0</v>
      </c>
      <c r="V34" s="87">
        <f>'Request #38'!V34</f>
        <v>0</v>
      </c>
      <c r="W34" s="88">
        <f>SUMIF(F7:F79,23,E7:E79)</f>
        <v>0</v>
      </c>
      <c r="X34" s="88">
        <f>'Request #38'!Y34</f>
        <v>0</v>
      </c>
      <c r="Y34" s="88">
        <f t="shared" si="1"/>
        <v>0</v>
      </c>
      <c r="Z34" s="88">
        <f t="shared" si="2"/>
        <v>0</v>
      </c>
      <c r="AA34" s="88">
        <f>SUMIF(P7:P79,23,O7:O79)</f>
        <v>0</v>
      </c>
      <c r="AB34" s="50" t="str">
        <f>IF(W34&gt;='Request #38'!AA34,"OK","Alert,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197">
        <f t="shared" si="3"/>
        <v>29</v>
      </c>
      <c r="H35" s="198" t="str">
        <f t="shared" si="3"/>
        <v>Other Fees</v>
      </c>
      <c r="I35" s="247">
        <f t="shared" si="3"/>
        <v>0</v>
      </c>
      <c r="K35" s="159"/>
      <c r="L35" s="157"/>
      <c r="M35" s="157"/>
      <c r="N35" s="154"/>
      <c r="O35" s="155"/>
      <c r="P35" s="158"/>
      <c r="R35" s="50" t="str">
        <f>IF(V36='Request #38'!V36,"OK","Send in Change Order")</f>
        <v>OK</v>
      </c>
      <c r="S35" s="85">
        <v>24</v>
      </c>
      <c r="T35" s="86" t="s">
        <v>71</v>
      </c>
      <c r="U35" s="218">
        <f>'Request #38'!U35</f>
        <v>0</v>
      </c>
      <c r="V35" s="87">
        <f>'Request #38'!V35</f>
        <v>0</v>
      </c>
      <c r="W35" s="88">
        <f>SUMIF(F7:F79,24,E7:E79)</f>
        <v>0</v>
      </c>
      <c r="X35" s="88">
        <f>'Request #38'!Y35</f>
        <v>0</v>
      </c>
      <c r="Y35" s="88">
        <f t="shared" si="1"/>
        <v>0</v>
      </c>
      <c r="Z35" s="88">
        <f t="shared" si="2"/>
        <v>0</v>
      </c>
      <c r="AA35" s="88">
        <f>SUMIF(P7:P79,24,O7:O79)</f>
        <v>0</v>
      </c>
      <c r="AB35" s="50" t="str">
        <f>IF(W36&gt;='Request #38'!AA36,"OK","Alert,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197">
        <f t="shared" si="3"/>
        <v>30</v>
      </c>
      <c r="H36" s="198" t="str">
        <f t="shared" si="3"/>
        <v>Other Fees</v>
      </c>
      <c r="I36" s="247">
        <f t="shared" si="3"/>
        <v>0</v>
      </c>
      <c r="K36" s="159"/>
      <c r="L36" s="157"/>
      <c r="M36" s="157"/>
      <c r="N36" s="154"/>
      <c r="O36" s="155"/>
      <c r="P36" s="158"/>
      <c r="R36" s="50" t="str">
        <f>IF(V36='Request #38'!V36,"OK","Send in Change Order")</f>
        <v>OK</v>
      </c>
      <c r="S36" s="85">
        <v>25</v>
      </c>
      <c r="T36" s="86" t="s">
        <v>71</v>
      </c>
      <c r="U36" s="218">
        <f>'Request #38'!U36</f>
        <v>0</v>
      </c>
      <c r="V36" s="87">
        <f>'Request #38'!V36</f>
        <v>0</v>
      </c>
      <c r="W36" s="88">
        <f>SUMIF(F7:F79,25,E7:E79)</f>
        <v>0</v>
      </c>
      <c r="X36" s="88">
        <f>'Request #38'!Y36</f>
        <v>0</v>
      </c>
      <c r="Y36" s="88">
        <f t="shared" si="1"/>
        <v>0</v>
      </c>
      <c r="Z36" s="88">
        <f t="shared" si="2"/>
        <v>0</v>
      </c>
      <c r="AA36" s="88">
        <f>SUMIF(P7:P79,25,O7:O79)</f>
        <v>0</v>
      </c>
      <c r="AB36" s="50" t="str">
        <f>IF(W36&gt;='Request #38'!AA36,"OK","Alert,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197">
        <f t="shared" si="3"/>
        <v>31</v>
      </c>
      <c r="H37" s="198" t="str">
        <f t="shared" si="3"/>
        <v>Other Fees</v>
      </c>
      <c r="I37" s="247">
        <f t="shared" si="3"/>
        <v>0</v>
      </c>
      <c r="K37" s="159"/>
      <c r="L37" s="157"/>
      <c r="M37" s="157"/>
      <c r="N37" s="154"/>
      <c r="O37" s="155"/>
      <c r="P37" s="158"/>
      <c r="R37" s="50" t="str">
        <f>IF(V37='Request #38'!V37,"OK","Send in Change Order")</f>
        <v>OK</v>
      </c>
      <c r="S37" s="85">
        <v>26</v>
      </c>
      <c r="T37" s="86" t="s">
        <v>82</v>
      </c>
      <c r="U37" s="218">
        <f>'Request #38'!U37</f>
        <v>0</v>
      </c>
      <c r="V37" s="87">
        <f>'Request #38'!V37</f>
        <v>0</v>
      </c>
      <c r="W37" s="88">
        <f>SUMIF(F7:F79,26,E7:E79)</f>
        <v>0</v>
      </c>
      <c r="X37" s="88">
        <f>'Request #38'!Y37</f>
        <v>0</v>
      </c>
      <c r="Y37" s="88">
        <f t="shared" si="1"/>
        <v>0</v>
      </c>
      <c r="Z37" s="88">
        <f t="shared" si="2"/>
        <v>0</v>
      </c>
      <c r="AA37" s="88">
        <f>SUMIF(P7:P79,26,O7:O79)</f>
        <v>0</v>
      </c>
      <c r="AB37" s="50" t="str">
        <f>IF(W37&gt;='Request #38'!AA37,"OK","Alert,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197">
        <f t="shared" si="3"/>
        <v>32</v>
      </c>
      <c r="H38" s="198" t="str">
        <f t="shared" si="3"/>
        <v>Other Fees</v>
      </c>
      <c r="I38" s="247">
        <f t="shared" si="3"/>
        <v>0</v>
      </c>
      <c r="K38" s="159"/>
      <c r="L38" s="157"/>
      <c r="M38" s="157"/>
      <c r="N38" s="154"/>
      <c r="O38" s="155"/>
      <c r="P38" s="158"/>
      <c r="R38" s="50" t="str">
        <f>IF(V38='Request #38'!V38,"OK","Send in Change Order")</f>
        <v>OK</v>
      </c>
      <c r="S38" s="85">
        <v>27</v>
      </c>
      <c r="T38" s="86" t="s">
        <v>82</v>
      </c>
      <c r="U38" s="218">
        <f>'Request #38'!U38</f>
        <v>0</v>
      </c>
      <c r="V38" s="87">
        <f>'Request #38'!V38</f>
        <v>0</v>
      </c>
      <c r="W38" s="88">
        <f>SUMIF(F7:F79,27,E7:E79)</f>
        <v>0</v>
      </c>
      <c r="X38" s="88">
        <f>'Request #38'!Y38</f>
        <v>0</v>
      </c>
      <c r="Y38" s="88">
        <f t="shared" si="1"/>
        <v>0</v>
      </c>
      <c r="Z38" s="88">
        <f t="shared" si="2"/>
        <v>0</v>
      </c>
      <c r="AA38" s="88">
        <f>SUMIF(P7:P79,27,O7:O79)</f>
        <v>0</v>
      </c>
      <c r="AB38" s="50" t="str">
        <f>IF(W38&gt;='Request #38'!AA38,"OK","Alert,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197">
        <f t="shared" si="3"/>
        <v>33</v>
      </c>
      <c r="H39" s="198" t="str">
        <f t="shared" si="3"/>
        <v>Other Fees</v>
      </c>
      <c r="I39" s="247">
        <f t="shared" si="3"/>
        <v>0</v>
      </c>
      <c r="K39" s="159"/>
      <c r="L39" s="157"/>
      <c r="M39" s="157"/>
      <c r="N39" s="154"/>
      <c r="O39" s="155"/>
      <c r="P39" s="158"/>
      <c r="R39" s="50" t="str">
        <f>IF(V39='Request #38'!V39,"OK","Send in Change Order")</f>
        <v>OK</v>
      </c>
      <c r="S39" s="85">
        <v>28</v>
      </c>
      <c r="T39" s="86" t="s">
        <v>82</v>
      </c>
      <c r="U39" s="218">
        <f>'Request #38'!U39</f>
        <v>0</v>
      </c>
      <c r="V39" s="87">
        <f>'Request #38'!V39</f>
        <v>0</v>
      </c>
      <c r="W39" s="88">
        <f>SUMIF(F7:F79,28,E7:E79)</f>
        <v>0</v>
      </c>
      <c r="X39" s="88">
        <f>'Request #38'!Y39</f>
        <v>0</v>
      </c>
      <c r="Y39" s="88">
        <f t="shared" si="1"/>
        <v>0</v>
      </c>
      <c r="Z39" s="88">
        <f t="shared" si="2"/>
        <v>0</v>
      </c>
      <c r="AA39" s="88">
        <f>SUMIF(P7:P79,28,O7:O79)</f>
        <v>0</v>
      </c>
      <c r="AB39" s="50" t="str">
        <f>IF(W39&gt;='Request #38'!AA39,"OK","Alert,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197">
        <f t="shared" ref="G40:I55" si="4">S45</f>
        <v>0</v>
      </c>
      <c r="H40" s="198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#38'!V40,"OK","Send in Change Order")</f>
        <v>OK</v>
      </c>
      <c r="S40" s="85">
        <v>29</v>
      </c>
      <c r="T40" s="86" t="s">
        <v>82</v>
      </c>
      <c r="U40" s="218">
        <f>'Request #38'!U40</f>
        <v>0</v>
      </c>
      <c r="V40" s="87">
        <f>'Request #38'!V40</f>
        <v>0</v>
      </c>
      <c r="W40" s="88">
        <f>SUMIF(F7:F79,29,E7:E79)</f>
        <v>0</v>
      </c>
      <c r="X40" s="88">
        <f>'Request #38'!Y40</f>
        <v>0</v>
      </c>
      <c r="Y40" s="88">
        <f t="shared" si="1"/>
        <v>0</v>
      </c>
      <c r="Z40" s="88">
        <f t="shared" si="2"/>
        <v>0</v>
      </c>
      <c r="AA40" s="88">
        <f>SUMIF(P7:P79,29,O7:O79)</f>
        <v>0</v>
      </c>
      <c r="AB40" s="50" t="str">
        <f>IF(W40&gt;='Request #38'!AA40,"OK","Alert,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197" t="str">
        <f t="shared" si="4"/>
        <v>Cost</v>
      </c>
      <c r="H41" s="198">
        <f t="shared" si="4"/>
        <v>0</v>
      </c>
      <c r="I41" s="247">
        <f t="shared" si="4"/>
        <v>0</v>
      </c>
      <c r="K41" s="159"/>
      <c r="L41" s="157"/>
      <c r="M41" s="157"/>
      <c r="N41" s="154"/>
      <c r="O41" s="155"/>
      <c r="P41" s="158"/>
      <c r="R41" s="50" t="str">
        <f>IF(V41='Request #38'!V41,"OK","Send in Change Order")</f>
        <v>OK</v>
      </c>
      <c r="S41" s="85">
        <v>30</v>
      </c>
      <c r="T41" s="86" t="s">
        <v>82</v>
      </c>
      <c r="U41" s="218">
        <f>'Request #38'!U41</f>
        <v>0</v>
      </c>
      <c r="V41" s="87">
        <f>'Request #38'!V41</f>
        <v>0</v>
      </c>
      <c r="W41" s="88">
        <f>SUMIF(F7:F79,30,E7:E79)</f>
        <v>0</v>
      </c>
      <c r="X41" s="88">
        <f>'Request #38'!Y41</f>
        <v>0</v>
      </c>
      <c r="Y41" s="88">
        <f t="shared" si="1"/>
        <v>0</v>
      </c>
      <c r="Z41" s="88">
        <f t="shared" si="2"/>
        <v>0</v>
      </c>
      <c r="AA41" s="88">
        <f>SUMIF(P7:P79,30,O7:O79)</f>
        <v>0</v>
      </c>
      <c r="AB41" s="50" t="str">
        <f>IF(W41&gt;='Request #38'!AA41,"OK","Alert,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197" t="str">
        <f t="shared" si="4"/>
        <v>Item</v>
      </c>
      <c r="H42" s="198" t="str">
        <f t="shared" si="4"/>
        <v>Account Name</v>
      </c>
      <c r="I42" s="247">
        <f t="shared" si="4"/>
        <v>0</v>
      </c>
      <c r="K42" s="159"/>
      <c r="L42" s="157"/>
      <c r="M42" s="157"/>
      <c r="N42" s="154"/>
      <c r="O42" s="155"/>
      <c r="P42" s="158"/>
      <c r="R42" s="50" t="str">
        <f>IF(V42='Request #38'!V42,"OK","Send in Change Order")</f>
        <v>OK</v>
      </c>
      <c r="S42" s="85">
        <v>31</v>
      </c>
      <c r="T42" s="86" t="s">
        <v>82</v>
      </c>
      <c r="U42" s="218">
        <f>'Request #38'!U42</f>
        <v>0</v>
      </c>
      <c r="V42" s="87">
        <f>'Request #38'!V42</f>
        <v>0</v>
      </c>
      <c r="W42" s="88">
        <f>SUMIF(F7:F79,31,E7:E79)</f>
        <v>0</v>
      </c>
      <c r="X42" s="88">
        <f>'Request #38'!Y42</f>
        <v>0</v>
      </c>
      <c r="Y42" s="88">
        <f t="shared" si="1"/>
        <v>0</v>
      </c>
      <c r="Z42" s="88">
        <f t="shared" si="2"/>
        <v>0</v>
      </c>
      <c r="AA42" s="88">
        <f>SUMIF(P7:P79,31,O7:O79)</f>
        <v>0</v>
      </c>
      <c r="AB42" s="50" t="str">
        <f>IF(W42&gt;='Request #38'!AA42,"OK","Alert,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197">
        <f t="shared" si="4"/>
        <v>0</v>
      </c>
      <c r="H43" s="198">
        <f t="shared" si="4"/>
        <v>0</v>
      </c>
      <c r="I43" s="247">
        <f t="shared" si="4"/>
        <v>0</v>
      </c>
      <c r="K43" s="159"/>
      <c r="L43" s="157"/>
      <c r="M43" s="157"/>
      <c r="N43" s="154"/>
      <c r="O43" s="155"/>
      <c r="P43" s="158"/>
      <c r="R43" s="50" t="str">
        <f>IF(V43='Request #38'!V43,"OK","Send in Change Order")</f>
        <v>OK</v>
      </c>
      <c r="S43" s="85">
        <v>32</v>
      </c>
      <c r="T43" s="86" t="s">
        <v>82</v>
      </c>
      <c r="U43" s="218">
        <f>'Request #38'!U43</f>
        <v>0</v>
      </c>
      <c r="V43" s="87">
        <f>'Request #38'!V43</f>
        <v>0</v>
      </c>
      <c r="W43" s="88">
        <f>SUMIF(F7:F79,32,E7:E79)</f>
        <v>0</v>
      </c>
      <c r="X43" s="88">
        <f>'Request #38'!Y43</f>
        <v>0</v>
      </c>
      <c r="Y43" s="88">
        <f t="shared" si="1"/>
        <v>0</v>
      </c>
      <c r="Z43" s="88">
        <f t="shared" si="2"/>
        <v>0</v>
      </c>
      <c r="AA43" s="88">
        <f>SUMIF(P7:P79,32,O7:O79)</f>
        <v>0</v>
      </c>
      <c r="AB43" s="50" t="str">
        <f>IF(W43&gt;='Request #38'!AA43,"OK","Alert,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197">
        <f t="shared" si="4"/>
        <v>38</v>
      </c>
      <c r="H44" s="198" t="str">
        <f t="shared" si="4"/>
        <v>Other Fees</v>
      </c>
      <c r="I44" s="247">
        <f t="shared" si="4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#38'!V44,"OK","Send in Change Order")</f>
        <v>OK</v>
      </c>
      <c r="S44" s="85">
        <v>33</v>
      </c>
      <c r="T44" s="86" t="s">
        <v>82</v>
      </c>
      <c r="U44" s="218">
        <f>'Request #38'!U44</f>
        <v>0</v>
      </c>
      <c r="V44" s="87">
        <f>'Request #38'!V44</f>
        <v>0</v>
      </c>
      <c r="W44" s="88">
        <f>SUMIF(F7:F79,33,E7:E79)</f>
        <v>0</v>
      </c>
      <c r="X44" s="88">
        <f>'Request #38'!Y44</f>
        <v>0</v>
      </c>
      <c r="Y44" s="88">
        <f t="shared" si="1"/>
        <v>0</v>
      </c>
      <c r="Z44" s="88">
        <f t="shared" si="2"/>
        <v>0</v>
      </c>
      <c r="AA44" s="88">
        <f>SUMIF(P7:P79,33,O7:O79)</f>
        <v>0</v>
      </c>
      <c r="AB44" s="50" t="str">
        <f>IF(W44&gt;='Request #38'!AA44,"OK","Alert,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4"/>
        <v>39</v>
      </c>
      <c r="H45" s="205" t="str">
        <f t="shared" si="4"/>
        <v>Other Fees</v>
      </c>
      <c r="I45" s="247">
        <f t="shared" si="4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4"/>
        <v>40</v>
      </c>
      <c r="H46" s="205" t="str">
        <f t="shared" si="4"/>
        <v>Other Fees</v>
      </c>
      <c r="I46" s="247">
        <f t="shared" si="4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197">
        <f t="shared" si="4"/>
        <v>41</v>
      </c>
      <c r="H47" s="198" t="str">
        <f t="shared" si="4"/>
        <v>Other Fees</v>
      </c>
      <c r="I47" s="247">
        <f t="shared" si="4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197">
        <f t="shared" si="4"/>
        <v>42</v>
      </c>
      <c r="H48" s="198" t="str">
        <f t="shared" si="4"/>
        <v>Other Fees</v>
      </c>
      <c r="I48" s="247">
        <f t="shared" si="4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197">
        <f t="shared" si="4"/>
        <v>43</v>
      </c>
      <c r="H49" s="198" t="str">
        <f t="shared" si="4"/>
        <v>Other Fees</v>
      </c>
      <c r="I49" s="247">
        <f t="shared" si="4"/>
        <v>0</v>
      </c>
      <c r="K49" s="159"/>
      <c r="L49" s="157"/>
      <c r="M49" s="157"/>
      <c r="N49" s="154"/>
      <c r="O49" s="155"/>
      <c r="P49" s="158"/>
      <c r="R49" s="50" t="str">
        <f>IF(V49='Request #38'!V49,"OK","Send in Change Order")</f>
        <v>OK</v>
      </c>
      <c r="S49" s="85">
        <v>38</v>
      </c>
      <c r="T49" s="86" t="s">
        <v>82</v>
      </c>
      <c r="U49" s="218">
        <f>'Request #38'!U49</f>
        <v>0</v>
      </c>
      <c r="V49" s="87">
        <f>'Request #38'!V49</f>
        <v>0</v>
      </c>
      <c r="W49" s="88">
        <f>SUMIF(F7:F79,38,E7:E79)</f>
        <v>0</v>
      </c>
      <c r="X49" s="88">
        <f>'Request #38'!Y49</f>
        <v>0</v>
      </c>
      <c r="Y49" s="88">
        <f t="shared" si="1"/>
        <v>0</v>
      </c>
      <c r="Z49" s="88">
        <f t="shared" si="2"/>
        <v>0</v>
      </c>
      <c r="AA49" s="88">
        <f>SUMIF(P7:P79,38,O7:O79)</f>
        <v>0</v>
      </c>
      <c r="AB49" s="50" t="str">
        <f>IF(W49&gt;='Request #38'!AA49,"OK","Alert,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197">
        <f t="shared" si="4"/>
        <v>44</v>
      </c>
      <c r="H50" s="198" t="str">
        <f t="shared" si="4"/>
        <v>Other Fees</v>
      </c>
      <c r="I50" s="247">
        <f t="shared" si="4"/>
        <v>0</v>
      </c>
      <c r="K50" s="159"/>
      <c r="L50" s="157"/>
      <c r="M50" s="157"/>
      <c r="N50" s="154"/>
      <c r="O50" s="155"/>
      <c r="P50" s="158"/>
      <c r="R50" s="50" t="str">
        <f>IF(V50='Request #38'!V50,"OK","Send in Change Order")</f>
        <v>OK</v>
      </c>
      <c r="S50" s="85">
        <v>39</v>
      </c>
      <c r="T50" s="86" t="s">
        <v>82</v>
      </c>
      <c r="U50" s="218">
        <f>'Request #38'!U50</f>
        <v>0</v>
      </c>
      <c r="V50" s="87">
        <f>'Request #38'!V50</f>
        <v>0</v>
      </c>
      <c r="W50" s="88">
        <f>SUMIF(F7:F79,39,E7:E79)</f>
        <v>0</v>
      </c>
      <c r="X50" s="88">
        <f>'Request #38'!Y50</f>
        <v>0</v>
      </c>
      <c r="Y50" s="88">
        <f t="shared" si="1"/>
        <v>0</v>
      </c>
      <c r="Z50" s="88">
        <f t="shared" si="2"/>
        <v>0</v>
      </c>
      <c r="AA50" s="88">
        <f>SUMIF(P7:P79,39,O7:O79)</f>
        <v>0</v>
      </c>
      <c r="AB50" s="50" t="str">
        <f>IF(W50&gt;='Request #38'!AA50,"OK","Alert,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197">
        <f t="shared" si="4"/>
        <v>45</v>
      </c>
      <c r="H51" s="198" t="str">
        <f t="shared" si="4"/>
        <v>Other Fees</v>
      </c>
      <c r="I51" s="247">
        <f t="shared" si="4"/>
        <v>0</v>
      </c>
      <c r="K51" s="159"/>
      <c r="L51" s="157"/>
      <c r="M51" s="157"/>
      <c r="N51" s="154"/>
      <c r="O51" s="155"/>
      <c r="P51" s="158"/>
      <c r="R51" s="50" t="str">
        <f>IF(V51='Request #38'!V51,"OK","Send in Change Order")</f>
        <v>OK</v>
      </c>
      <c r="S51" s="85">
        <v>40</v>
      </c>
      <c r="T51" s="86" t="s">
        <v>82</v>
      </c>
      <c r="U51" s="218">
        <f>'Request #38'!U51</f>
        <v>0</v>
      </c>
      <c r="V51" s="87">
        <f>'Request #38'!V51</f>
        <v>0</v>
      </c>
      <c r="W51" s="88">
        <f>SUMIF(F7:F79,40,E7:E79)</f>
        <v>0</v>
      </c>
      <c r="X51" s="88">
        <f>'Request #38'!Y51</f>
        <v>0</v>
      </c>
      <c r="Y51" s="88">
        <f t="shared" si="1"/>
        <v>0</v>
      </c>
      <c r="Z51" s="88">
        <f t="shared" si="2"/>
        <v>0</v>
      </c>
      <c r="AA51" s="88">
        <f>SUMIF(P7:P79,40,O7:O79)</f>
        <v>0</v>
      </c>
      <c r="AB51" s="50" t="str">
        <f>IF(W51&gt;='Request #38'!AA51,"OK","Alert,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197">
        <f t="shared" si="4"/>
        <v>46</v>
      </c>
      <c r="H52" s="198" t="str">
        <f t="shared" si="4"/>
        <v>Other Fees</v>
      </c>
      <c r="I52" s="247">
        <f t="shared" si="4"/>
        <v>0</v>
      </c>
      <c r="K52" s="159"/>
      <c r="L52" s="157"/>
      <c r="M52" s="157"/>
      <c r="N52" s="154"/>
      <c r="O52" s="155"/>
      <c r="P52" s="158"/>
      <c r="R52" s="50" t="str">
        <f>IF(V52='Request #38'!V52,"OK","Send in Change Order")</f>
        <v>OK</v>
      </c>
      <c r="S52" s="85">
        <v>41</v>
      </c>
      <c r="T52" s="86" t="s">
        <v>82</v>
      </c>
      <c r="U52" s="218">
        <f>'Request #38'!U52</f>
        <v>0</v>
      </c>
      <c r="V52" s="87">
        <f>'Request #38'!V52</f>
        <v>0</v>
      </c>
      <c r="W52" s="88">
        <f>SUMIF(F7:F79,41,E7:E79)</f>
        <v>0</v>
      </c>
      <c r="X52" s="88">
        <f>'Request #38'!Y52</f>
        <v>0</v>
      </c>
      <c r="Y52" s="88">
        <f t="shared" si="1"/>
        <v>0</v>
      </c>
      <c r="Z52" s="88">
        <f t="shared" si="2"/>
        <v>0</v>
      </c>
      <c r="AA52" s="88">
        <f>SUMIF(P7:P79,41,O7:O79)</f>
        <v>0</v>
      </c>
      <c r="AB52" s="50" t="str">
        <f>IF(W52&gt;='Request #38'!AA52,"OK","Alert,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197">
        <f t="shared" si="4"/>
        <v>47</v>
      </c>
      <c r="H53" s="198" t="str">
        <f t="shared" si="4"/>
        <v>Other Fees</v>
      </c>
      <c r="I53" s="247">
        <f t="shared" si="4"/>
        <v>0</v>
      </c>
      <c r="K53" s="159"/>
      <c r="L53" s="157"/>
      <c r="M53" s="157"/>
      <c r="N53" s="154"/>
      <c r="O53" s="155"/>
      <c r="P53" s="158"/>
      <c r="R53" s="50" t="str">
        <f>IF(V53='Request #38'!V53,"OK","Send in Change Order")</f>
        <v>OK</v>
      </c>
      <c r="S53" s="85">
        <v>42</v>
      </c>
      <c r="T53" s="86" t="s">
        <v>82</v>
      </c>
      <c r="U53" s="218">
        <f>'Request #38'!U53</f>
        <v>0</v>
      </c>
      <c r="V53" s="87">
        <f>'Request #38'!V53</f>
        <v>0</v>
      </c>
      <c r="W53" s="88">
        <f>SUMIF(F7:F79,42,E7:E79)</f>
        <v>0</v>
      </c>
      <c r="X53" s="88">
        <f>'Request #38'!Y53</f>
        <v>0</v>
      </c>
      <c r="Y53" s="88">
        <f t="shared" si="1"/>
        <v>0</v>
      </c>
      <c r="Z53" s="88">
        <f t="shared" si="2"/>
        <v>0</v>
      </c>
      <c r="AA53" s="88">
        <f>SUMIF(P7:P79,42,O7:O79)</f>
        <v>0</v>
      </c>
      <c r="AB53" s="50" t="str">
        <f>IF(W53&gt;='Request #38'!AA53,"OK","Alert,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197">
        <f t="shared" si="4"/>
        <v>48</v>
      </c>
      <c r="H54" s="198" t="str">
        <f t="shared" si="4"/>
        <v>Other Fees</v>
      </c>
      <c r="I54" s="247">
        <f t="shared" si="4"/>
        <v>0</v>
      </c>
      <c r="K54" s="159"/>
      <c r="L54" s="157"/>
      <c r="M54" s="157"/>
      <c r="N54" s="154"/>
      <c r="O54" s="155"/>
      <c r="P54" s="158"/>
      <c r="R54" s="50" t="str">
        <f>IF(V54='Request #38'!V54,"OK","Send in Change Order")</f>
        <v>OK</v>
      </c>
      <c r="S54" s="85">
        <v>43</v>
      </c>
      <c r="T54" s="86" t="s">
        <v>82</v>
      </c>
      <c r="U54" s="218">
        <f>'Request #38'!U54</f>
        <v>0</v>
      </c>
      <c r="V54" s="87">
        <f>'Request #38'!V54</f>
        <v>0</v>
      </c>
      <c r="W54" s="88">
        <f>SUMIF(F7:F79,43,E7:E79)</f>
        <v>0</v>
      </c>
      <c r="X54" s="88">
        <f>'Request #38'!Y54</f>
        <v>0</v>
      </c>
      <c r="Y54" s="88">
        <f t="shared" si="1"/>
        <v>0</v>
      </c>
      <c r="Z54" s="88">
        <f t="shared" si="2"/>
        <v>0</v>
      </c>
      <c r="AA54" s="88">
        <f>SUMIF(P7:P79,43,O7:O79)</f>
        <v>0</v>
      </c>
      <c r="AB54" s="50" t="str">
        <f>IF(W54&gt;='Request #38'!AA54,"OK","Alert,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197">
        <f t="shared" si="4"/>
        <v>49</v>
      </c>
      <c r="H55" s="198" t="str">
        <f t="shared" si="4"/>
        <v>Other Fees</v>
      </c>
      <c r="I55" s="247">
        <f t="shared" si="4"/>
        <v>0</v>
      </c>
      <c r="K55" s="159"/>
      <c r="L55" s="157"/>
      <c r="M55" s="157"/>
      <c r="N55" s="154"/>
      <c r="O55" s="155"/>
      <c r="P55" s="158"/>
      <c r="R55" s="50" t="str">
        <f>IF(V55='Request #38'!V55,"OK","Send in Change Order")</f>
        <v>OK</v>
      </c>
      <c r="S55" s="85">
        <v>44</v>
      </c>
      <c r="T55" s="86" t="s">
        <v>82</v>
      </c>
      <c r="U55" s="218">
        <f>'Request #38'!U55</f>
        <v>0</v>
      </c>
      <c r="V55" s="87">
        <f>'Request #38'!V55</f>
        <v>0</v>
      </c>
      <c r="W55" s="88">
        <f>SUMIF(F7:F79,44,E7:E79)</f>
        <v>0</v>
      </c>
      <c r="X55" s="88">
        <f>'Request #38'!Y55</f>
        <v>0</v>
      </c>
      <c r="Y55" s="88">
        <f t="shared" si="1"/>
        <v>0</v>
      </c>
      <c r="Z55" s="88">
        <f t="shared" si="2"/>
        <v>0</v>
      </c>
      <c r="AA55" s="88">
        <f>SUMIF(P7:P79,44,O7:O79)</f>
        <v>0</v>
      </c>
      <c r="AB55" s="50" t="str">
        <f>IF(W55&gt;='Request #38'!AA55,"OK","Alert,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197">
        <f t="shared" ref="G56:I62" si="5">S61</f>
        <v>50</v>
      </c>
      <c r="H56" s="198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#38'!V56,"OK","Send in Change Order")</f>
        <v>OK</v>
      </c>
      <c r="S56" s="85">
        <v>45</v>
      </c>
      <c r="T56" s="86" t="s">
        <v>82</v>
      </c>
      <c r="U56" s="218">
        <f>'Request #38'!U56</f>
        <v>0</v>
      </c>
      <c r="V56" s="87">
        <f>'Request #38'!V56</f>
        <v>0</v>
      </c>
      <c r="W56" s="88">
        <f>SUMIF(F7:F79,45,E7:E79)</f>
        <v>0</v>
      </c>
      <c r="X56" s="88">
        <f>'Request #38'!Y56</f>
        <v>0</v>
      </c>
      <c r="Y56" s="88">
        <f t="shared" si="1"/>
        <v>0</v>
      </c>
      <c r="Z56" s="88">
        <f t="shared" si="2"/>
        <v>0</v>
      </c>
      <c r="AA56" s="88">
        <f>SUMIF(P7:P79,45,O7:O79)</f>
        <v>0</v>
      </c>
      <c r="AB56" s="50" t="str">
        <f>IF(W56&gt;='Request #38'!AA56,"OK","Alert,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197">
        <f t="shared" si="5"/>
        <v>51</v>
      </c>
      <c r="H57" s="198" t="str">
        <f t="shared" si="5"/>
        <v>Other Fees</v>
      </c>
      <c r="I57" s="247">
        <f t="shared" si="5"/>
        <v>0</v>
      </c>
      <c r="K57" s="159"/>
      <c r="L57" s="157"/>
      <c r="M57" s="157"/>
      <c r="N57" s="154"/>
      <c r="O57" s="155"/>
      <c r="P57" s="158"/>
      <c r="R57" s="50" t="str">
        <f>IF(V57='Request #38'!V57,"OK","Send in Change Order")</f>
        <v>OK</v>
      </c>
      <c r="S57" s="85">
        <v>46</v>
      </c>
      <c r="T57" s="86" t="s">
        <v>82</v>
      </c>
      <c r="U57" s="218">
        <f>'Request #38'!U57</f>
        <v>0</v>
      </c>
      <c r="V57" s="87">
        <f>'Request #38'!V57</f>
        <v>0</v>
      </c>
      <c r="W57" s="88">
        <f>SUMIF(F7:F79,46,E7:E79)</f>
        <v>0</v>
      </c>
      <c r="X57" s="88">
        <f>'Request #38'!Y57</f>
        <v>0</v>
      </c>
      <c r="Y57" s="88">
        <f t="shared" si="1"/>
        <v>0</v>
      </c>
      <c r="Z57" s="88">
        <f t="shared" si="2"/>
        <v>0</v>
      </c>
      <c r="AA57" s="88">
        <f>SUMIF(P7:P79,46,O7:O79)</f>
        <v>0</v>
      </c>
      <c r="AB57" s="50" t="str">
        <f>IF(W57&gt;='Request #38'!AA57,"OK","Alert,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197">
        <f t="shared" si="5"/>
        <v>52</v>
      </c>
      <c r="H58" s="198" t="str">
        <f t="shared" si="5"/>
        <v>Worked Performed by Owner</v>
      </c>
      <c r="I58" s="247">
        <f t="shared" si="5"/>
        <v>0</v>
      </c>
      <c r="K58" s="159"/>
      <c r="L58" s="157"/>
      <c r="M58" s="157"/>
      <c r="N58" s="154"/>
      <c r="O58" s="155"/>
      <c r="P58" s="158"/>
      <c r="R58" s="50" t="str">
        <f>IF(V58='Request #38'!V58,"OK","Send in Change Order")</f>
        <v>OK</v>
      </c>
      <c r="S58" s="85">
        <v>47</v>
      </c>
      <c r="T58" s="86" t="s">
        <v>82</v>
      </c>
      <c r="U58" s="218">
        <f>'Request #38'!U58</f>
        <v>0</v>
      </c>
      <c r="V58" s="87">
        <f>'Request #38'!V58</f>
        <v>0</v>
      </c>
      <c r="W58" s="88">
        <f>SUMIF(F7:F79,47,E7:E79)</f>
        <v>0</v>
      </c>
      <c r="X58" s="88">
        <f>'Request #38'!Y58</f>
        <v>0</v>
      </c>
      <c r="Y58" s="88">
        <f t="shared" si="1"/>
        <v>0</v>
      </c>
      <c r="Z58" s="88">
        <f t="shared" si="2"/>
        <v>0</v>
      </c>
      <c r="AA58" s="88">
        <f>SUMIF(P7:P79,47,O7:O79)</f>
        <v>0</v>
      </c>
      <c r="AB58" s="50" t="str">
        <f>IF(W58&gt;='Request #38'!AA58,"OK","Alert,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197">
        <f t="shared" si="5"/>
        <v>53</v>
      </c>
      <c r="H59" s="198" t="str">
        <f t="shared" si="5"/>
        <v>Equipment (Major)</v>
      </c>
      <c r="I59" s="247">
        <f t="shared" si="5"/>
        <v>0</v>
      </c>
      <c r="K59" s="159"/>
      <c r="L59" s="157"/>
      <c r="M59" s="157"/>
      <c r="N59" s="154"/>
      <c r="O59" s="155"/>
      <c r="P59" s="158"/>
      <c r="R59" s="50" t="str">
        <f>IF(V59='Request #38'!V59,"OK","Send in Change Order")</f>
        <v>OK</v>
      </c>
      <c r="S59" s="85">
        <v>48</v>
      </c>
      <c r="T59" s="86" t="s">
        <v>82</v>
      </c>
      <c r="U59" s="218">
        <f>'Request #38'!U59</f>
        <v>0</v>
      </c>
      <c r="V59" s="87">
        <f>'Request #38'!V59</f>
        <v>0</v>
      </c>
      <c r="W59" s="88">
        <f>SUMIF(F7:F79,48,E7:E79)</f>
        <v>0</v>
      </c>
      <c r="X59" s="88">
        <f>'Request #38'!Y59</f>
        <v>0</v>
      </c>
      <c r="Y59" s="88">
        <f t="shared" si="1"/>
        <v>0</v>
      </c>
      <c r="Z59" s="88">
        <f t="shared" si="2"/>
        <v>0</v>
      </c>
      <c r="AA59" s="88">
        <f>SUMIF(P7:P79,48,O7:O79)</f>
        <v>0</v>
      </c>
      <c r="AB59" s="50" t="str">
        <f>IF(W59&gt;='Request #38'!AA59,"OK","Alert,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197">
        <f t="shared" si="5"/>
        <v>54</v>
      </c>
      <c r="H60" s="198" t="str">
        <f t="shared" si="5"/>
        <v>Contingency Fund</v>
      </c>
      <c r="I60" s="247">
        <f t="shared" si="5"/>
        <v>0</v>
      </c>
      <c r="K60" s="159"/>
      <c r="L60" s="157"/>
      <c r="M60" s="157"/>
      <c r="N60" s="154"/>
      <c r="O60" s="155"/>
      <c r="P60" s="158"/>
      <c r="R60" s="50" t="str">
        <f>IF(V60='Request #38'!V60,"OK","Send in Change Order")</f>
        <v>OK</v>
      </c>
      <c r="S60" s="85">
        <v>49</v>
      </c>
      <c r="T60" s="86" t="s">
        <v>82</v>
      </c>
      <c r="U60" s="218">
        <f>'Request #38'!U60</f>
        <v>0</v>
      </c>
      <c r="V60" s="87">
        <f>'Request #38'!V60</f>
        <v>0</v>
      </c>
      <c r="W60" s="88">
        <f>SUMIF(F7:F79,49,E7:E79)</f>
        <v>0</v>
      </c>
      <c r="X60" s="88">
        <f>'Request #38'!Y60</f>
        <v>0</v>
      </c>
      <c r="Y60" s="88">
        <f t="shared" si="1"/>
        <v>0</v>
      </c>
      <c r="Z60" s="88">
        <f t="shared" si="2"/>
        <v>0</v>
      </c>
      <c r="AA60" s="88">
        <f>SUMIF(P7:P79,49,O7:O79)</f>
        <v>0</v>
      </c>
      <c r="AB60" s="50" t="str">
        <f>IF(W60&gt;='Request #38'!AA60,"OK","Alert,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197">
        <f t="shared" si="5"/>
        <v>55</v>
      </c>
      <c r="H61" s="198">
        <f t="shared" si="5"/>
        <v>0</v>
      </c>
      <c r="I61" s="247">
        <f t="shared" si="5"/>
        <v>0</v>
      </c>
      <c r="K61" s="159"/>
      <c r="L61" s="157"/>
      <c r="M61" s="157"/>
      <c r="N61" s="154"/>
      <c r="O61" s="155"/>
      <c r="P61" s="158"/>
      <c r="R61" s="50" t="str">
        <f>IF(V61='Request #38'!V61,"OK","Send in Change Order")</f>
        <v>OK</v>
      </c>
      <c r="S61" s="85">
        <v>50</v>
      </c>
      <c r="T61" s="86" t="s">
        <v>82</v>
      </c>
      <c r="U61" s="218">
        <f>'Request #38'!U61</f>
        <v>0</v>
      </c>
      <c r="V61" s="87">
        <f>'Request #38'!V61</f>
        <v>0</v>
      </c>
      <c r="W61" s="88">
        <f>SUMIF(F7:F79,50,E7:E79)</f>
        <v>0</v>
      </c>
      <c r="X61" s="88">
        <f>'Request #38'!Y61</f>
        <v>0</v>
      </c>
      <c r="Y61" s="88">
        <f t="shared" si="1"/>
        <v>0</v>
      </c>
      <c r="Z61" s="88">
        <f t="shared" si="2"/>
        <v>0</v>
      </c>
      <c r="AA61" s="88">
        <f>SUMIF(P7:P79,50,O7:O79)</f>
        <v>0</v>
      </c>
      <c r="AB61" s="50" t="str">
        <f>IF(W61&gt;='Request #38'!AA61,"OK","Alert,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197">
        <f t="shared" si="5"/>
        <v>56</v>
      </c>
      <c r="H62" s="198">
        <f t="shared" si="5"/>
        <v>0</v>
      </c>
      <c r="I62" s="247">
        <f t="shared" si="5"/>
        <v>0</v>
      </c>
      <c r="K62" s="159"/>
      <c r="L62" s="157"/>
      <c r="M62" s="157"/>
      <c r="N62" s="154"/>
      <c r="O62" s="155"/>
      <c r="P62" s="158"/>
      <c r="R62" s="50" t="str">
        <f>IF(V62='Request #38'!V62,"OK","Send in Change Order")</f>
        <v>OK</v>
      </c>
      <c r="S62" s="85">
        <v>51</v>
      </c>
      <c r="T62" s="86" t="s">
        <v>82</v>
      </c>
      <c r="U62" s="218">
        <f>'Request #38'!U62</f>
        <v>0</v>
      </c>
      <c r="V62" s="87">
        <f>'Request #38'!V62</f>
        <v>0</v>
      </c>
      <c r="W62" s="88">
        <f>SUMIF(F7:F79,51,E7:E79)</f>
        <v>0</v>
      </c>
      <c r="X62" s="88">
        <f>'Request #38'!Y62</f>
        <v>0</v>
      </c>
      <c r="Y62" s="88">
        <f t="shared" si="1"/>
        <v>0</v>
      </c>
      <c r="Z62" s="88">
        <f t="shared" si="2"/>
        <v>0</v>
      </c>
      <c r="AA62" s="88">
        <f>SUMIF(P7:P79,51,O7:O79)</f>
        <v>0</v>
      </c>
      <c r="AB62" s="50" t="str">
        <f>IF(W62&gt;='Request #38'!AA62,"OK","Alert,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#38'!V63,"OK","Send in Change Order")</f>
        <v>OK</v>
      </c>
      <c r="S63" s="85">
        <v>52</v>
      </c>
      <c r="T63" s="86" t="s">
        <v>88</v>
      </c>
      <c r="U63" s="218">
        <f>'Request #38'!U63</f>
        <v>0</v>
      </c>
      <c r="V63" s="87">
        <f>'Request #38'!V63</f>
        <v>0</v>
      </c>
      <c r="W63" s="88">
        <f>SUMIF(F7:F79,52,E7:E79)</f>
        <v>0</v>
      </c>
      <c r="X63" s="88">
        <f>'Request #38'!Y63</f>
        <v>0</v>
      </c>
      <c r="Y63" s="88">
        <f t="shared" si="1"/>
        <v>0</v>
      </c>
      <c r="Z63" s="88">
        <f t="shared" si="2"/>
        <v>0</v>
      </c>
      <c r="AA63" s="88">
        <f>SUMIF(P7:P79,52,O7:O79)</f>
        <v>0</v>
      </c>
      <c r="AB63" s="50" t="str">
        <f>IF(W63&gt;='Request #38'!AA63,"OK","Alert,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#38'!V64,"OK","Send in Change Order")</f>
        <v>OK</v>
      </c>
      <c r="S64" s="85">
        <v>53</v>
      </c>
      <c r="T64" s="86" t="s">
        <v>89</v>
      </c>
      <c r="U64" s="218">
        <f>'Request #38'!U64</f>
        <v>0</v>
      </c>
      <c r="V64" s="87">
        <f>'Request #38'!V64</f>
        <v>0</v>
      </c>
      <c r="W64" s="88">
        <f>SUMIF(F7:F79,53,E7:E79)</f>
        <v>0</v>
      </c>
      <c r="X64" s="88">
        <f>'Request #38'!Y64</f>
        <v>0</v>
      </c>
      <c r="Y64" s="88">
        <f t="shared" si="1"/>
        <v>0</v>
      </c>
      <c r="Z64" s="88">
        <f t="shared" si="2"/>
        <v>0</v>
      </c>
      <c r="AA64" s="88">
        <f>SUMIF(P7:P79,53,O7:O79)</f>
        <v>0</v>
      </c>
      <c r="AB64" s="50" t="str">
        <f>IF(W64&gt;='Request #38'!AA64,"OK","Alert,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#38'!V65,"OK","Send in Change Order")</f>
        <v>OK</v>
      </c>
      <c r="S65" s="85">
        <v>54</v>
      </c>
      <c r="T65" s="102" t="s">
        <v>90</v>
      </c>
      <c r="U65" s="218">
        <f>'Request #38'!U65</f>
        <v>0</v>
      </c>
      <c r="V65" s="87">
        <f>'Request #38'!V65</f>
        <v>0</v>
      </c>
      <c r="W65" s="104"/>
      <c r="X65" s="88">
        <f>'Request #38'!Y65</f>
        <v>0</v>
      </c>
      <c r="Y65" s="88">
        <f t="shared" si="1"/>
        <v>0</v>
      </c>
      <c r="Z65" s="88">
        <f t="shared" si="2"/>
        <v>0</v>
      </c>
      <c r="AA65" s="104"/>
      <c r="AB65" s="50" t="str">
        <f>IF(W65&gt;='Request #38'!AA65,"OK","Alert,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#38'!V66,"OK","Send in Change Order")</f>
        <v>OK</v>
      </c>
      <c r="S66" s="85">
        <v>55</v>
      </c>
      <c r="T66" s="86"/>
      <c r="U66" s="218">
        <f>'Request #38'!U66</f>
        <v>0</v>
      </c>
      <c r="V66" s="87">
        <f>'Request #38'!V66</f>
        <v>0</v>
      </c>
      <c r="W66" s="88">
        <f>SUMIF(F7:F79,55,E7:E79)</f>
        <v>0</v>
      </c>
      <c r="X66" s="88">
        <f>'Request #38'!Y66</f>
        <v>0</v>
      </c>
      <c r="Y66" s="88">
        <f t="shared" si="1"/>
        <v>0</v>
      </c>
      <c r="Z66" s="88">
        <f t="shared" si="2"/>
        <v>0</v>
      </c>
      <c r="AA66" s="88">
        <f>SUMIF(P7:P79,55,O7:O79)</f>
        <v>0</v>
      </c>
      <c r="AB66" s="50" t="str">
        <f>IF(W66&gt;='Request #38'!AA66,"OK","Alert,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#38'!V67,"OK","Send in Change Order")</f>
        <v>OK</v>
      </c>
      <c r="S67" s="85">
        <v>56</v>
      </c>
      <c r="T67" s="79"/>
      <c r="U67" s="218">
        <f>'Request #38'!U67</f>
        <v>0</v>
      </c>
      <c r="V67" s="87">
        <f>'Request #38'!V67</f>
        <v>0</v>
      </c>
      <c r="W67" s="88">
        <f>SUMIF(F7:F79,56,E7:E79)</f>
        <v>0</v>
      </c>
      <c r="X67" s="88">
        <f>'Request #38'!Y67</f>
        <v>0</v>
      </c>
      <c r="Y67" s="88">
        <f t="shared" si="1"/>
        <v>0</v>
      </c>
      <c r="Z67" s="88">
        <f t="shared" si="2"/>
        <v>0</v>
      </c>
      <c r="AA67" s="88">
        <f>SUMIF(P7:P79,56,O7:O79)</f>
        <v>0</v>
      </c>
      <c r="AB67" s="50" t="str">
        <f>IF(W67&gt;='Request #38'!AA67,"OK","Alert,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#38'!V68,"OK","Send in Change Order")</f>
        <v>OK</v>
      </c>
      <c r="S68" s="316" t="s">
        <v>60</v>
      </c>
      <c r="T68" s="317"/>
      <c r="U68" s="224" t="s">
        <v>91</v>
      </c>
      <c r="V68" s="263">
        <f t="shared" ref="V68:AA68" si="6">SUM(V12:V67)</f>
        <v>0</v>
      </c>
      <c r="W68" s="105">
        <f t="shared" si="6"/>
        <v>0</v>
      </c>
      <c r="X68" s="105">
        <f t="shared" si="6"/>
        <v>0</v>
      </c>
      <c r="Y68" s="105">
        <f t="shared" si="6"/>
        <v>0</v>
      </c>
      <c r="Z68" s="105">
        <f t="shared" si="6"/>
        <v>0</v>
      </c>
      <c r="AA68" s="105">
        <f t="shared" si="6"/>
        <v>0</v>
      </c>
      <c r="AB68" s="50" t="str">
        <f>IF(W68&gt;='Request #38'!AA68,"OK","Alert,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25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226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27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28" t="e">
        <f>V72/V68</f>
        <v>#DIV/0!</v>
      </c>
      <c r="V72" s="88">
        <f>V68-V74-V73</f>
        <v>0</v>
      </c>
      <c r="W72" s="87">
        <v>0</v>
      </c>
      <c r="X72" s="88">
        <f>'Request #38'!Y72</f>
        <v>0</v>
      </c>
      <c r="Y72" s="88">
        <f t="shared" ref="Y72:Y73" si="7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S73" s="86" t="s">
        <v>95</v>
      </c>
      <c r="T73" s="114"/>
      <c r="U73" s="228" t="e">
        <f>V73/V68</f>
        <v>#DIV/0!</v>
      </c>
      <c r="V73" s="87">
        <f>'Request #38'!V73</f>
        <v>0</v>
      </c>
      <c r="W73" s="87">
        <v>0</v>
      </c>
      <c r="X73" s="88">
        <f>'Request #38'!Y73</f>
        <v>0</v>
      </c>
      <c r="Y73" s="88">
        <f t="shared" si="7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S74" s="120" t="s">
        <v>96</v>
      </c>
      <c r="T74" s="121"/>
      <c r="U74" s="228" t="e">
        <f>V74/V68</f>
        <v>#DIV/0!</v>
      </c>
      <c r="V74" s="87">
        <f>'Request #38'!V74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221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30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30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31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221"/>
      <c r="V80" s="55"/>
      <c r="W80" s="55"/>
      <c r="X80" s="138"/>
      <c r="Y80" s="45" t="s">
        <v>108</v>
      </c>
      <c r="Z80" s="43"/>
      <c r="AA80" s="88">
        <f>'Request #38'!AA79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39</v>
      </c>
      <c r="V87" s="55"/>
      <c r="W87" s="55"/>
      <c r="X87" s="138"/>
      <c r="Y87" s="45" t="s">
        <v>108</v>
      </c>
      <c r="Z87" s="43"/>
      <c r="AA87" s="88">
        <f>'Request #38'!AA86</f>
        <v>0</v>
      </c>
      <c r="AB87" s="110"/>
    </row>
    <row r="88" spans="1:28" ht="30" customHeight="1" thickBot="1" x14ac:dyDescent="0.35">
      <c r="S88" s="55"/>
      <c r="T88" s="55"/>
      <c r="U88" s="221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221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221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221"/>
      <c r="V91" s="55"/>
      <c r="W91" s="55"/>
      <c r="X91" s="55"/>
    </row>
    <row r="92" spans="1:28" ht="30" customHeight="1" x14ac:dyDescent="0.3">
      <c r="S92" s="55"/>
      <c r="T92" s="55"/>
      <c r="U92" s="221"/>
      <c r="V92" s="55"/>
      <c r="W92" s="55"/>
      <c r="X92" s="55"/>
    </row>
    <row r="93" spans="1:28" ht="30" customHeight="1" x14ac:dyDescent="0.3">
      <c r="S93" s="55"/>
      <c r="T93" s="55"/>
      <c r="U93" s="221"/>
      <c r="V93" s="55"/>
      <c r="W93" s="55"/>
      <c r="X93" s="55"/>
    </row>
    <row r="94" spans="1:28" ht="30" customHeight="1" x14ac:dyDescent="0.3">
      <c r="S94" s="55"/>
      <c r="T94" s="55"/>
      <c r="U94" s="221"/>
      <c r="V94" s="55"/>
      <c r="W94" s="55"/>
      <c r="X94" s="55"/>
    </row>
    <row r="95" spans="1:28" ht="30" customHeight="1" x14ac:dyDescent="0.3">
      <c r="S95" s="55"/>
      <c r="T95" s="55"/>
      <c r="U95" s="221"/>
      <c r="V95" s="55"/>
      <c r="W95" s="55"/>
      <c r="X95" s="55"/>
    </row>
    <row r="96" spans="1:28" ht="30" customHeight="1" x14ac:dyDescent="0.3">
      <c r="S96" s="55"/>
      <c r="T96" s="55"/>
      <c r="U96" s="221"/>
      <c r="V96" s="55"/>
      <c r="W96" s="55"/>
      <c r="X96" s="55"/>
    </row>
    <row r="97" spans="15:24" ht="30" customHeight="1" x14ac:dyDescent="0.3">
      <c r="S97" s="55"/>
      <c r="T97" s="55"/>
      <c r="U97" s="221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41z/yUPpD/uh9LZG+FDC7+OnF6NEeDecHOHdsS4rsmUJu8gUttPMAmGdDj8X4NYUdt66f0jKfPMznOMP8aCRxA==" saltValue="kX3GRwacjU2iYjEy+bf1iQ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6:Z86"/>
    <mergeCell ref="S68:T68"/>
    <mergeCell ref="S70:T70"/>
    <mergeCell ref="Y76:AA76"/>
    <mergeCell ref="W77:W79"/>
    <mergeCell ref="Y79:Z79"/>
    <mergeCell ref="Y83:AA83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88" priority="13" operator="containsText" text="Change">
      <formula>NOT(ISERROR(SEARCH("Change",R1)))</formula>
    </cfRule>
  </conditionalFormatting>
  <conditionalFormatting sqref="R45:R48">
    <cfRule type="cellIs" dxfId="87" priority="7" operator="equal">
      <formula>"Send in Change Order"</formula>
    </cfRule>
  </conditionalFormatting>
  <conditionalFormatting sqref="W68">
    <cfRule type="cellIs" dxfId="86" priority="2" operator="notEqual">
      <formula>$E$82</formula>
    </cfRule>
    <cfRule type="cellIs" dxfId="85" priority="3" operator="greaterThan">
      <formula>$E$82</formula>
    </cfRule>
    <cfRule type="cellIs" dxfId="84" priority="4" operator="notEqual">
      <formula>$E$82</formula>
    </cfRule>
  </conditionalFormatting>
  <conditionalFormatting sqref="Z68">
    <cfRule type="cellIs" dxfId="83" priority="5" operator="lessThan">
      <formula>0</formula>
    </cfRule>
  </conditionalFormatting>
  <conditionalFormatting sqref="Z49:AA68 Z12:AA44">
    <cfRule type="cellIs" dxfId="82" priority="8" operator="lessThan">
      <formula>0</formula>
    </cfRule>
  </conditionalFormatting>
  <conditionalFormatting sqref="AA68">
    <cfRule type="cellIs" dxfId="81" priority="1" operator="notEqual">
      <formula>$O$82</formula>
    </cfRule>
  </conditionalFormatting>
  <conditionalFormatting sqref="AB1:AB1048576">
    <cfRule type="containsText" dxfId="80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6" manualBreakCount="6">
    <brk id="6" max="1048575" man="1"/>
    <brk id="10" max="1048575" man="1"/>
    <brk id="16" max="88" man="1"/>
    <brk id="18" max="1048575" man="1"/>
    <brk id="27" max="1048575" man="1"/>
    <brk id="29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10937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21875" style="50" customWidth="1"/>
    <col min="19" max="19" width="6.109375" style="39" customWidth="1"/>
    <col min="20" max="20" width="30.44140625" style="39" customWidth="1"/>
    <col min="21" max="21" width="17.77734375" style="39" customWidth="1"/>
    <col min="22" max="27" width="18.88671875" style="39" customWidth="1"/>
    <col min="28" max="28" width="24.3320312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53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40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53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53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195" t="s">
        <v>35</v>
      </c>
      <c r="H6" s="196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55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197">
        <f>S12</f>
        <v>1</v>
      </c>
      <c r="H7" s="198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197">
        <f t="shared" ref="G8:I23" si="0">S13</f>
        <v>2</v>
      </c>
      <c r="H8" s="198" t="str">
        <f t="shared" si="0"/>
        <v>General Contract</v>
      </c>
      <c r="I8" s="247">
        <f t="shared" si="0"/>
        <v>0</v>
      </c>
      <c r="K8" s="152"/>
      <c r="L8" s="157"/>
      <c r="M8" s="157"/>
      <c r="N8" s="154"/>
      <c r="O8" s="155"/>
      <c r="P8" s="158"/>
      <c r="S8" s="66"/>
      <c r="T8" s="67"/>
      <c r="U8" s="68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197">
        <f t="shared" si="0"/>
        <v>3</v>
      </c>
      <c r="H9" s="198" t="str">
        <f t="shared" si="0"/>
        <v>Architect Contract</v>
      </c>
      <c r="I9" s="247">
        <f t="shared" si="0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74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40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197">
        <f t="shared" si="0"/>
        <v>4</v>
      </c>
      <c r="H10" s="198" t="str">
        <f t="shared" si="0"/>
        <v>Architect Reimbursables</v>
      </c>
      <c r="I10" s="247">
        <f t="shared" si="0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197">
        <f t="shared" si="0"/>
        <v>5</v>
      </c>
      <c r="H11" s="198" t="str">
        <f t="shared" si="0"/>
        <v>Other Contracts</v>
      </c>
      <c r="I11" s="247">
        <f t="shared" si="0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80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197">
        <f t="shared" si="0"/>
        <v>6</v>
      </c>
      <c r="H12" s="198" t="str">
        <f t="shared" si="0"/>
        <v>Other Contracts</v>
      </c>
      <c r="I12" s="247">
        <f t="shared" si="0"/>
        <v>0</v>
      </c>
      <c r="K12" s="152"/>
      <c r="L12" s="157"/>
      <c r="M12" s="157"/>
      <c r="N12" s="154"/>
      <c r="O12" s="155"/>
      <c r="P12" s="158"/>
      <c r="R12" s="50" t="str">
        <f>IF(V12='Request #39'!V12,"OK","Send in Change Order")</f>
        <v>OK</v>
      </c>
      <c r="S12" s="85">
        <v>1</v>
      </c>
      <c r="T12" s="86" t="str">
        <f>'Request #35'!T12</f>
        <v>Land/Site Grading &amp; Improv.</v>
      </c>
      <c r="U12" s="218">
        <f>'Request #39'!U12</f>
        <v>0</v>
      </c>
      <c r="V12" s="87">
        <f>'Request #39'!V12</f>
        <v>0</v>
      </c>
      <c r="W12" s="88">
        <f>SUMIF(F7:F79,1,E7:E79)</f>
        <v>0</v>
      </c>
      <c r="X12" s="88">
        <f>'Request #39'!Y12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#39'!AA12,"OK","Alert,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197">
        <f t="shared" si="0"/>
        <v>7</v>
      </c>
      <c r="H13" s="198" t="str">
        <f t="shared" si="0"/>
        <v>Other Contracts</v>
      </c>
      <c r="I13" s="247">
        <f t="shared" si="0"/>
        <v>0</v>
      </c>
      <c r="K13" s="152"/>
      <c r="L13" s="157"/>
      <c r="M13" s="157"/>
      <c r="N13" s="154"/>
      <c r="O13" s="155"/>
      <c r="P13" s="158"/>
      <c r="R13" s="50" t="str">
        <f>IF(V13='Request #39'!V13,"OK","Send in Change Order")</f>
        <v>OK</v>
      </c>
      <c r="S13" s="85">
        <v>2</v>
      </c>
      <c r="T13" s="86" t="s">
        <v>122</v>
      </c>
      <c r="U13" s="218">
        <f>'Request #39'!U13</f>
        <v>0</v>
      </c>
      <c r="V13" s="87">
        <f>'Request #39'!V13</f>
        <v>0</v>
      </c>
      <c r="W13" s="88">
        <f>SUMIF(F7:F79,2,E7:E79)</f>
        <v>0</v>
      </c>
      <c r="X13" s="88">
        <f>'Request #39'!Y13</f>
        <v>0</v>
      </c>
      <c r="Y13" s="88">
        <f t="shared" ref="Y13:Y67" si="1">W13+X13</f>
        <v>0</v>
      </c>
      <c r="Z13" s="88">
        <f t="shared" ref="Z13:Z67" si="2">V13-Y13</f>
        <v>0</v>
      </c>
      <c r="AA13" s="88">
        <f>SUMIF(P7:P79,2,O7:O79)</f>
        <v>0</v>
      </c>
      <c r="AB13" s="50" t="str">
        <f>IF(W13&gt;='Request #39'!AA13,"OK","Alert,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197">
        <f t="shared" si="0"/>
        <v>8</v>
      </c>
      <c r="H14" s="198" t="str">
        <f t="shared" si="0"/>
        <v>Other Contracts</v>
      </c>
      <c r="I14" s="247">
        <f t="shared" si="0"/>
        <v>0</v>
      </c>
      <c r="K14" s="159"/>
      <c r="L14" s="157"/>
      <c r="M14" s="157"/>
      <c r="N14" s="154"/>
      <c r="O14" s="155"/>
      <c r="P14" s="158"/>
      <c r="R14" s="50" t="str">
        <f>IF(V14='Request #39'!V14,"OK","Send in Change Order")</f>
        <v>OK</v>
      </c>
      <c r="S14" s="85">
        <v>3</v>
      </c>
      <c r="T14" s="86" t="s">
        <v>123</v>
      </c>
      <c r="U14" s="218">
        <f>'Request #39'!U14</f>
        <v>0</v>
      </c>
      <c r="V14" s="87">
        <f>'Request #39'!V14</f>
        <v>0</v>
      </c>
      <c r="W14" s="88">
        <f>SUMIF(F7:F79,3,E7:E79)</f>
        <v>0</v>
      </c>
      <c r="X14" s="88">
        <f>'Request #39'!Y14</f>
        <v>0</v>
      </c>
      <c r="Y14" s="88">
        <f t="shared" si="1"/>
        <v>0</v>
      </c>
      <c r="Z14" s="88">
        <f t="shared" si="2"/>
        <v>0</v>
      </c>
      <c r="AA14" s="88">
        <f>SUMIF(P7:P79,3,O7:O79)</f>
        <v>0</v>
      </c>
      <c r="AB14" s="50" t="str">
        <f>IF(W14&gt;='Request #39'!AA14,"OK","Alert,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197">
        <f t="shared" si="0"/>
        <v>9</v>
      </c>
      <c r="H15" s="198" t="str">
        <f t="shared" si="0"/>
        <v>Other Contracts</v>
      </c>
      <c r="I15" s="247">
        <f t="shared" si="0"/>
        <v>0</v>
      </c>
      <c r="K15" s="159"/>
      <c r="L15" s="157"/>
      <c r="M15" s="157"/>
      <c r="N15" s="154"/>
      <c r="O15" s="155"/>
      <c r="P15" s="158"/>
      <c r="R15" s="50" t="str">
        <f>IF(V15='Request #39'!V15,"OK","Send in Change Order")</f>
        <v>OK</v>
      </c>
      <c r="S15" s="85">
        <v>4</v>
      </c>
      <c r="T15" s="86" t="s">
        <v>124</v>
      </c>
      <c r="U15" s="218">
        <f>'Request #39'!U15</f>
        <v>0</v>
      </c>
      <c r="V15" s="87">
        <f>'Request #39'!V15</f>
        <v>0</v>
      </c>
      <c r="W15" s="88">
        <f>SUMIF(F7:F79,4,E7:E79)</f>
        <v>0</v>
      </c>
      <c r="X15" s="88">
        <f>'Request #39'!Y15</f>
        <v>0</v>
      </c>
      <c r="Y15" s="88">
        <f t="shared" si="1"/>
        <v>0</v>
      </c>
      <c r="Z15" s="88">
        <f t="shared" si="2"/>
        <v>0</v>
      </c>
      <c r="AA15" s="88">
        <f>SUMIF(P7:P79,4,O7:O79)</f>
        <v>0</v>
      </c>
      <c r="AB15" s="50" t="str">
        <f>IF(W15&gt;='Request #39'!AA15,"OK","Alert,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197">
        <f t="shared" si="0"/>
        <v>10</v>
      </c>
      <c r="H16" s="198" t="str">
        <f t="shared" si="0"/>
        <v>Other Contracts</v>
      </c>
      <c r="I16" s="247">
        <f t="shared" si="0"/>
        <v>0</v>
      </c>
      <c r="K16" s="152"/>
      <c r="L16" s="157"/>
      <c r="M16" s="157"/>
      <c r="N16" s="154"/>
      <c r="O16" s="155"/>
      <c r="P16" s="158"/>
      <c r="R16" s="50" t="str">
        <f>IF(V16='Request #39'!V16,"OK","Send in Change Order")</f>
        <v>OK</v>
      </c>
      <c r="S16" s="85">
        <v>5</v>
      </c>
      <c r="T16" s="86" t="s">
        <v>71</v>
      </c>
      <c r="U16" s="218">
        <f>'Request #39'!U16</f>
        <v>0</v>
      </c>
      <c r="V16" s="87">
        <f>'Request #39'!V16</f>
        <v>0</v>
      </c>
      <c r="W16" s="88">
        <f>SUMIF(F7:F79,5,E7:E79)</f>
        <v>0</v>
      </c>
      <c r="X16" s="88">
        <f>'Request #39'!Y16</f>
        <v>0</v>
      </c>
      <c r="Y16" s="88">
        <f t="shared" si="1"/>
        <v>0</v>
      </c>
      <c r="Z16" s="88">
        <f t="shared" si="2"/>
        <v>0</v>
      </c>
      <c r="AA16" s="88">
        <f>SUMIF(P7:P79,5,O7:O79)</f>
        <v>0</v>
      </c>
      <c r="AB16" s="50" t="str">
        <f>IF(W16&gt;='Request #39'!AA16,"OK","Alert,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197">
        <f t="shared" si="0"/>
        <v>11</v>
      </c>
      <c r="H17" s="198" t="str">
        <f t="shared" si="0"/>
        <v>Other Contracts</v>
      </c>
      <c r="I17" s="247">
        <f t="shared" si="0"/>
        <v>0</v>
      </c>
      <c r="K17" s="152"/>
      <c r="L17" s="157"/>
      <c r="M17" s="157"/>
      <c r="N17" s="154"/>
      <c r="O17" s="155"/>
      <c r="P17" s="158"/>
      <c r="R17" s="50" t="str">
        <f>IF(V17='Request #39'!V17,"OK","Send in Change Order")</f>
        <v>OK</v>
      </c>
      <c r="S17" s="85">
        <v>6</v>
      </c>
      <c r="T17" s="86" t="s">
        <v>71</v>
      </c>
      <c r="U17" s="218">
        <f>'Request #39'!U17</f>
        <v>0</v>
      </c>
      <c r="V17" s="87">
        <f>'Request #39'!V17</f>
        <v>0</v>
      </c>
      <c r="W17" s="88">
        <f>SUMIF(F7:F79,6,E7:E79)</f>
        <v>0</v>
      </c>
      <c r="X17" s="88">
        <f>'Request #39'!Y17</f>
        <v>0</v>
      </c>
      <c r="Y17" s="88">
        <f t="shared" si="1"/>
        <v>0</v>
      </c>
      <c r="Z17" s="88">
        <f t="shared" si="2"/>
        <v>0</v>
      </c>
      <c r="AA17" s="88">
        <f>SUMIF(P7:P79,6,O7:O79)</f>
        <v>0</v>
      </c>
      <c r="AB17" s="50" t="str">
        <f>IF(W17&gt;='Request #39'!AA17,"OK","Alert,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197">
        <f t="shared" si="0"/>
        <v>12</v>
      </c>
      <c r="H18" s="198" t="str">
        <f t="shared" si="0"/>
        <v>Other Contracts</v>
      </c>
      <c r="I18" s="247">
        <f t="shared" si="0"/>
        <v>0</v>
      </c>
      <c r="K18" s="152"/>
      <c r="L18" s="157"/>
      <c r="M18" s="157"/>
      <c r="N18" s="154"/>
      <c r="O18" s="155"/>
      <c r="P18" s="158"/>
      <c r="R18" s="50" t="str">
        <f>IF(V18='Request #39'!V18,"OK","Send in Change Order")</f>
        <v>OK</v>
      </c>
      <c r="S18" s="85">
        <v>7</v>
      </c>
      <c r="T18" s="86" t="s">
        <v>71</v>
      </c>
      <c r="U18" s="218">
        <f>'Request #39'!U18</f>
        <v>0</v>
      </c>
      <c r="V18" s="87">
        <f>'Request #39'!V18</f>
        <v>0</v>
      </c>
      <c r="W18" s="88">
        <f>SUMIF(F7:F79,7,E7:E79)</f>
        <v>0</v>
      </c>
      <c r="X18" s="88">
        <f>'Request #39'!Y18</f>
        <v>0</v>
      </c>
      <c r="Y18" s="88">
        <f t="shared" si="1"/>
        <v>0</v>
      </c>
      <c r="Z18" s="88">
        <f t="shared" si="2"/>
        <v>0</v>
      </c>
      <c r="AA18" s="88">
        <f>SUMIF(P7:P79,7,O7:O79)</f>
        <v>0</v>
      </c>
      <c r="AB18" s="50" t="str">
        <f>IF(W18&gt;='Request #39'!AA18,"OK","Alert,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197">
        <f t="shared" si="0"/>
        <v>13</v>
      </c>
      <c r="H19" s="198" t="str">
        <f t="shared" si="0"/>
        <v>Other Contracts</v>
      </c>
      <c r="I19" s="247">
        <f t="shared" si="0"/>
        <v>0</v>
      </c>
      <c r="K19" s="159"/>
      <c r="L19" s="157"/>
      <c r="M19" s="157"/>
      <c r="N19" s="154"/>
      <c r="O19" s="155"/>
      <c r="P19" s="158"/>
      <c r="R19" s="50" t="str">
        <f>IF(V19='Request #39'!V19,"OK","Send in Change Order")</f>
        <v>OK</v>
      </c>
      <c r="S19" s="85">
        <v>8</v>
      </c>
      <c r="T19" s="86" t="s">
        <v>71</v>
      </c>
      <c r="U19" s="218">
        <f>'Request #39'!U19</f>
        <v>0</v>
      </c>
      <c r="V19" s="87">
        <f>'Request #39'!V19</f>
        <v>0</v>
      </c>
      <c r="W19" s="88">
        <f>SUMIF(F7:F79,8,E7:E79)</f>
        <v>0</v>
      </c>
      <c r="X19" s="88">
        <f>'Request #39'!Y19</f>
        <v>0</v>
      </c>
      <c r="Y19" s="88">
        <f t="shared" si="1"/>
        <v>0</v>
      </c>
      <c r="Z19" s="88">
        <f t="shared" si="2"/>
        <v>0</v>
      </c>
      <c r="AA19" s="88">
        <f>SUMIF(P7:P79,8,O7:O79)</f>
        <v>0</v>
      </c>
      <c r="AB19" s="50" t="str">
        <f>IF(W19&gt;='Request #39'!AA19,"OK","Alert,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197">
        <f t="shared" si="0"/>
        <v>14</v>
      </c>
      <c r="H20" s="198" t="str">
        <f t="shared" si="0"/>
        <v>Other Contracts</v>
      </c>
      <c r="I20" s="247">
        <f t="shared" si="0"/>
        <v>0</v>
      </c>
      <c r="K20" s="152"/>
      <c r="L20" s="157"/>
      <c r="M20" s="157"/>
      <c r="N20" s="154"/>
      <c r="O20" s="155"/>
      <c r="P20" s="158"/>
      <c r="R20" s="50" t="str">
        <f>IF(V20='Request #39'!V20,"OK","Send in Change Order")</f>
        <v>OK</v>
      </c>
      <c r="S20" s="85">
        <v>9</v>
      </c>
      <c r="T20" s="86" t="s">
        <v>71</v>
      </c>
      <c r="U20" s="218">
        <f>'Request #39'!U20</f>
        <v>0</v>
      </c>
      <c r="V20" s="87">
        <f>'Request #39'!V20</f>
        <v>0</v>
      </c>
      <c r="W20" s="88">
        <f>SUMIF(F7:F79,9,E7:E79)</f>
        <v>0</v>
      </c>
      <c r="X20" s="88">
        <f>'Request #39'!Y20</f>
        <v>0</v>
      </c>
      <c r="Y20" s="88">
        <f t="shared" si="1"/>
        <v>0</v>
      </c>
      <c r="Z20" s="88">
        <f t="shared" si="2"/>
        <v>0</v>
      </c>
      <c r="AA20" s="88">
        <f>SUMIF(P7:P79,9,O7:O79)</f>
        <v>0</v>
      </c>
      <c r="AB20" s="50" t="str">
        <f>IF(W20&gt;='Request #39'!AA20,"OK","Alert,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197">
        <f t="shared" si="0"/>
        <v>15</v>
      </c>
      <c r="H21" s="198" t="str">
        <f t="shared" si="0"/>
        <v>Other Contracts</v>
      </c>
      <c r="I21" s="247">
        <f t="shared" si="0"/>
        <v>0</v>
      </c>
      <c r="K21" s="159"/>
      <c r="L21" s="157"/>
      <c r="M21" s="157"/>
      <c r="N21" s="154"/>
      <c r="O21" s="155"/>
      <c r="P21" s="158"/>
      <c r="R21" s="50" t="str">
        <f>IF(V21='Request #39'!V21,"OK","Send in Change Order")</f>
        <v>OK</v>
      </c>
      <c r="S21" s="85">
        <v>10</v>
      </c>
      <c r="T21" s="86" t="s">
        <v>71</v>
      </c>
      <c r="U21" s="218">
        <f>'Request #39'!U21</f>
        <v>0</v>
      </c>
      <c r="V21" s="87">
        <f>'Request #39'!V21</f>
        <v>0</v>
      </c>
      <c r="W21" s="88">
        <f>SUMIF(F7:F79,10,E7:E79)</f>
        <v>0</v>
      </c>
      <c r="X21" s="88">
        <f>'Request #39'!Y21</f>
        <v>0</v>
      </c>
      <c r="Y21" s="88">
        <f t="shared" si="1"/>
        <v>0</v>
      </c>
      <c r="Z21" s="88">
        <f t="shared" si="2"/>
        <v>0</v>
      </c>
      <c r="AA21" s="88">
        <f>SUMIF(P7:P79,10,O7:O79)</f>
        <v>0</v>
      </c>
      <c r="AB21" s="50" t="str">
        <f>IF(W21&gt;='Request #39'!AA21,"OK","Alert,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197">
        <f t="shared" si="0"/>
        <v>16</v>
      </c>
      <c r="H22" s="198" t="str">
        <f t="shared" si="0"/>
        <v>Other Contracts</v>
      </c>
      <c r="I22" s="247">
        <f t="shared" si="0"/>
        <v>0</v>
      </c>
      <c r="K22" s="159"/>
      <c r="L22" s="157"/>
      <c r="M22" s="157"/>
      <c r="N22" s="154"/>
      <c r="O22" s="155"/>
      <c r="P22" s="158"/>
      <c r="R22" s="50" t="str">
        <f>IF(V22='Request #39'!V22,"OK","Send in Change Order")</f>
        <v>OK</v>
      </c>
      <c r="S22" s="85">
        <v>11</v>
      </c>
      <c r="T22" s="86" t="s">
        <v>71</v>
      </c>
      <c r="U22" s="218">
        <f>'Request #39'!U22</f>
        <v>0</v>
      </c>
      <c r="V22" s="87">
        <f>'Request #39'!V22</f>
        <v>0</v>
      </c>
      <c r="W22" s="88">
        <f>SUMIF(F7:F79,11,E7:E79)</f>
        <v>0</v>
      </c>
      <c r="X22" s="88">
        <f>'Request #39'!Y22</f>
        <v>0</v>
      </c>
      <c r="Y22" s="88">
        <f t="shared" si="1"/>
        <v>0</v>
      </c>
      <c r="Z22" s="88">
        <f t="shared" si="2"/>
        <v>0</v>
      </c>
      <c r="AA22" s="88">
        <f>SUMIF(P7:P79,11,O7:O79)</f>
        <v>0</v>
      </c>
      <c r="AB22" s="50" t="str">
        <f>IF(W22&gt;='Request #39'!AA22,"OK","Alert,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197">
        <f t="shared" si="0"/>
        <v>17</v>
      </c>
      <c r="H23" s="198" t="str">
        <f t="shared" si="0"/>
        <v>Other Contracts</v>
      </c>
      <c r="I23" s="247">
        <f t="shared" si="0"/>
        <v>0</v>
      </c>
      <c r="K23" s="159"/>
      <c r="L23" s="157"/>
      <c r="M23" s="157"/>
      <c r="N23" s="154"/>
      <c r="O23" s="155"/>
      <c r="P23" s="158"/>
      <c r="R23" s="50" t="str">
        <f>IF(V23='Request #39'!V23,"OK","Send in Change Order")</f>
        <v>OK</v>
      </c>
      <c r="S23" s="85">
        <v>12</v>
      </c>
      <c r="T23" s="86" t="s">
        <v>71</v>
      </c>
      <c r="U23" s="218">
        <f>'Request #39'!U23</f>
        <v>0</v>
      </c>
      <c r="V23" s="87">
        <f>'Request #39'!V23</f>
        <v>0</v>
      </c>
      <c r="W23" s="88">
        <f>SUMIF(F7:F79,12,E7:E79)</f>
        <v>0</v>
      </c>
      <c r="X23" s="88">
        <f>'Request #39'!Y23</f>
        <v>0</v>
      </c>
      <c r="Y23" s="88">
        <f t="shared" si="1"/>
        <v>0</v>
      </c>
      <c r="Z23" s="88">
        <f t="shared" si="2"/>
        <v>0</v>
      </c>
      <c r="AA23" s="88">
        <f>SUMIF(P7:P79,12,O7:O79)</f>
        <v>0</v>
      </c>
      <c r="AB23" s="50" t="str">
        <f>IF(W23&gt;='Request #39'!AA23,"OK","Alert,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197">
        <f t="shared" ref="G24:I39" si="3">S29</f>
        <v>18</v>
      </c>
      <c r="H24" s="198" t="str">
        <f t="shared" si="3"/>
        <v>Other Contracts</v>
      </c>
      <c r="I24" s="247">
        <f t="shared" si="3"/>
        <v>0</v>
      </c>
      <c r="K24" s="159"/>
      <c r="L24" s="157"/>
      <c r="M24" s="157"/>
      <c r="N24" s="154"/>
      <c r="O24" s="155"/>
      <c r="P24" s="158"/>
      <c r="R24" s="50" t="str">
        <f>IF(V24='Request #39'!V24,"OK","Send in Change Order")</f>
        <v>OK</v>
      </c>
      <c r="S24" s="85">
        <v>13</v>
      </c>
      <c r="T24" s="86" t="s">
        <v>71</v>
      </c>
      <c r="U24" s="218">
        <f>'Request #39'!U24</f>
        <v>0</v>
      </c>
      <c r="V24" s="87">
        <f>'Request #39'!V24</f>
        <v>0</v>
      </c>
      <c r="W24" s="88">
        <f>SUMIF(F7:F79,13,E7:E79)</f>
        <v>0</v>
      </c>
      <c r="X24" s="88">
        <f>'Request #39'!Y24</f>
        <v>0</v>
      </c>
      <c r="Y24" s="88">
        <f t="shared" si="1"/>
        <v>0</v>
      </c>
      <c r="Z24" s="88">
        <f t="shared" si="2"/>
        <v>0</v>
      </c>
      <c r="AA24" s="88">
        <f>SUMIF(P7:P79,13,O7:O79)</f>
        <v>0</v>
      </c>
      <c r="AB24" s="50" t="str">
        <f>IF(W24&gt;='Request #39'!AA24,"OK","Alert,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197">
        <f t="shared" si="3"/>
        <v>19</v>
      </c>
      <c r="H25" s="198" t="str">
        <f t="shared" si="3"/>
        <v>Other Contracts</v>
      </c>
      <c r="I25" s="247">
        <f t="shared" si="3"/>
        <v>0</v>
      </c>
      <c r="K25" s="159"/>
      <c r="L25" s="157"/>
      <c r="M25" s="157"/>
      <c r="N25" s="154"/>
      <c r="O25" s="155"/>
      <c r="P25" s="158"/>
      <c r="R25" s="50" t="str">
        <f>IF(V25='Request #39'!V25,"OK","Send in Change Order")</f>
        <v>OK</v>
      </c>
      <c r="S25" s="85">
        <v>14</v>
      </c>
      <c r="T25" s="86" t="s">
        <v>71</v>
      </c>
      <c r="U25" s="218">
        <f>'Request #39'!U25</f>
        <v>0</v>
      </c>
      <c r="V25" s="87">
        <f>'Request #39'!V25</f>
        <v>0</v>
      </c>
      <c r="W25" s="88">
        <f>SUMIF(F7:F79,14,E7:E79)</f>
        <v>0</v>
      </c>
      <c r="X25" s="88">
        <f>'Request #39'!Y25</f>
        <v>0</v>
      </c>
      <c r="Y25" s="88">
        <f t="shared" si="1"/>
        <v>0</v>
      </c>
      <c r="Z25" s="88">
        <f t="shared" si="2"/>
        <v>0</v>
      </c>
      <c r="AA25" s="88">
        <f>SUMIF(P7:P79,14,O7:O79)</f>
        <v>0</v>
      </c>
      <c r="AB25" s="50" t="str">
        <f>IF(W25&gt;='Request #39'!AA25,"OK","Alert,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197">
        <f t="shared" si="3"/>
        <v>20</v>
      </c>
      <c r="H26" s="198" t="str">
        <f t="shared" si="3"/>
        <v>Other Contracts</v>
      </c>
      <c r="I26" s="247">
        <f t="shared" si="3"/>
        <v>0</v>
      </c>
      <c r="K26" s="159"/>
      <c r="L26" s="157"/>
      <c r="M26" s="157"/>
      <c r="N26" s="154"/>
      <c r="O26" s="155"/>
      <c r="P26" s="158"/>
      <c r="R26" s="50" t="str">
        <f>IF(V26='Request #39'!V26,"OK","Send in Change Order")</f>
        <v>OK</v>
      </c>
      <c r="S26" s="85">
        <v>15</v>
      </c>
      <c r="T26" s="86" t="s">
        <v>71</v>
      </c>
      <c r="U26" s="218">
        <f>'Request #39'!U26</f>
        <v>0</v>
      </c>
      <c r="V26" s="87">
        <f>'Request #39'!V26</f>
        <v>0</v>
      </c>
      <c r="W26" s="88">
        <f>SUMIF(F7:F79,15,E7:E79)</f>
        <v>0</v>
      </c>
      <c r="X26" s="88">
        <f>'Request #39'!Y26</f>
        <v>0</v>
      </c>
      <c r="Y26" s="88">
        <f t="shared" si="1"/>
        <v>0</v>
      </c>
      <c r="Z26" s="88">
        <f t="shared" si="2"/>
        <v>0</v>
      </c>
      <c r="AA26" s="88">
        <f>SUMIF(P7:P79,15,O7:O79)</f>
        <v>0</v>
      </c>
      <c r="AB26" s="50" t="str">
        <f>IF(W26&gt;='Request #39'!AA26,"OK","Alert,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197">
        <f t="shared" si="3"/>
        <v>21</v>
      </c>
      <c r="H27" s="198" t="str">
        <f t="shared" si="3"/>
        <v>Other Contracts</v>
      </c>
      <c r="I27" s="247">
        <f t="shared" si="3"/>
        <v>0</v>
      </c>
      <c r="K27" s="159"/>
      <c r="L27" s="157"/>
      <c r="M27" s="157"/>
      <c r="N27" s="154"/>
      <c r="O27" s="155"/>
      <c r="P27" s="158"/>
      <c r="R27" s="50" t="str">
        <f>IF(V27='Request #39'!V27,"OK","Send in Change Order")</f>
        <v>OK</v>
      </c>
      <c r="S27" s="85">
        <v>16</v>
      </c>
      <c r="T27" s="86" t="s">
        <v>71</v>
      </c>
      <c r="U27" s="218">
        <f>'Request #39'!U27</f>
        <v>0</v>
      </c>
      <c r="V27" s="87">
        <f>'Request #39'!V27</f>
        <v>0</v>
      </c>
      <c r="W27" s="88">
        <f>SUMIF(F7:F79,16,E7:E79)</f>
        <v>0</v>
      </c>
      <c r="X27" s="88">
        <f>'Request #39'!Y27</f>
        <v>0</v>
      </c>
      <c r="Y27" s="88">
        <f t="shared" si="1"/>
        <v>0</v>
      </c>
      <c r="Z27" s="88">
        <f t="shared" si="2"/>
        <v>0</v>
      </c>
      <c r="AA27" s="88">
        <f>SUMIF(P7:P79,16,O7:O79)</f>
        <v>0</v>
      </c>
      <c r="AB27" s="50" t="str">
        <f>IF(W27&gt;='Request #39'!AA27,"OK","Alert,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197">
        <f t="shared" si="3"/>
        <v>22</v>
      </c>
      <c r="H28" s="198" t="str">
        <f t="shared" si="3"/>
        <v>Other Contracts</v>
      </c>
      <c r="I28" s="247">
        <f t="shared" si="3"/>
        <v>0</v>
      </c>
      <c r="K28" s="159"/>
      <c r="L28" s="157"/>
      <c r="M28" s="157"/>
      <c r="N28" s="154"/>
      <c r="O28" s="155"/>
      <c r="P28" s="158"/>
      <c r="R28" s="50" t="str">
        <f>IF(V28='Request #39'!V28,"OK","Send in Change Order")</f>
        <v>OK</v>
      </c>
      <c r="S28" s="85">
        <v>17</v>
      </c>
      <c r="T28" s="86" t="s">
        <v>71</v>
      </c>
      <c r="U28" s="218">
        <f>'Request #39'!U28</f>
        <v>0</v>
      </c>
      <c r="V28" s="87">
        <f>'Request #39'!V28</f>
        <v>0</v>
      </c>
      <c r="W28" s="88">
        <f>SUMIF(F7:F79,17,E7:E79)</f>
        <v>0</v>
      </c>
      <c r="X28" s="88">
        <f>'Request #39'!Y28</f>
        <v>0</v>
      </c>
      <c r="Y28" s="88">
        <f t="shared" si="1"/>
        <v>0</v>
      </c>
      <c r="Z28" s="88">
        <f t="shared" si="2"/>
        <v>0</v>
      </c>
      <c r="AA28" s="88">
        <f>SUMIF(P7:P79,17,O7:O79)</f>
        <v>0</v>
      </c>
      <c r="AB28" s="50" t="str">
        <f>IF(W28&gt;='Request #39'!AA28,"OK","Alert,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197">
        <f t="shared" si="3"/>
        <v>23</v>
      </c>
      <c r="H29" s="198" t="str">
        <f t="shared" si="3"/>
        <v>Other Contracts</v>
      </c>
      <c r="I29" s="247">
        <f t="shared" si="3"/>
        <v>0</v>
      </c>
      <c r="K29" s="159"/>
      <c r="L29" s="157"/>
      <c r="M29" s="157"/>
      <c r="N29" s="154"/>
      <c r="O29" s="155"/>
      <c r="P29" s="158"/>
      <c r="R29" s="50" t="str">
        <f>IF(V29='Request #39'!V29,"OK","Send in Change Order")</f>
        <v>OK</v>
      </c>
      <c r="S29" s="85">
        <v>18</v>
      </c>
      <c r="T29" s="86" t="s">
        <v>71</v>
      </c>
      <c r="U29" s="218">
        <f>'Request #39'!U29</f>
        <v>0</v>
      </c>
      <c r="V29" s="87">
        <f>'Request #39'!V29</f>
        <v>0</v>
      </c>
      <c r="W29" s="88">
        <f>SUMIF(F7:F79,18,E7:E79)</f>
        <v>0</v>
      </c>
      <c r="X29" s="88">
        <f>'Request #39'!Y29</f>
        <v>0</v>
      </c>
      <c r="Y29" s="88">
        <f t="shared" si="1"/>
        <v>0</v>
      </c>
      <c r="Z29" s="88">
        <f t="shared" si="2"/>
        <v>0</v>
      </c>
      <c r="AA29" s="88">
        <f>SUMIF(P7:P79,18,O7:O79)</f>
        <v>0</v>
      </c>
      <c r="AB29" s="50" t="str">
        <f>IF(W29&gt;='Request #39'!AA29,"OK","Alert,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197">
        <f t="shared" si="3"/>
        <v>24</v>
      </c>
      <c r="H30" s="198" t="str">
        <f t="shared" si="3"/>
        <v>Other Contracts</v>
      </c>
      <c r="I30" s="247">
        <f t="shared" si="3"/>
        <v>0</v>
      </c>
      <c r="K30" s="159"/>
      <c r="L30" s="157"/>
      <c r="M30" s="157"/>
      <c r="N30" s="154"/>
      <c r="O30" s="155"/>
      <c r="P30" s="158"/>
      <c r="R30" s="50" t="str">
        <f>IF(V30='Request #39'!V30,"OK","Send in Change Order")</f>
        <v>OK</v>
      </c>
      <c r="S30" s="85">
        <v>19</v>
      </c>
      <c r="T30" s="86" t="s">
        <v>71</v>
      </c>
      <c r="U30" s="218">
        <f>'Request #39'!U30</f>
        <v>0</v>
      </c>
      <c r="V30" s="87">
        <f>'Request #39'!V30</f>
        <v>0</v>
      </c>
      <c r="W30" s="88">
        <f>SUMIF(F7:F79,19,E7:E79)</f>
        <v>0</v>
      </c>
      <c r="X30" s="88">
        <f>'Request #39'!Y30</f>
        <v>0</v>
      </c>
      <c r="Y30" s="88">
        <f t="shared" si="1"/>
        <v>0</v>
      </c>
      <c r="Z30" s="88">
        <f t="shared" si="2"/>
        <v>0</v>
      </c>
      <c r="AA30" s="88">
        <f>SUMIF(P7:P79,19,O7:O79)</f>
        <v>0</v>
      </c>
      <c r="AB30" s="50" t="str">
        <f>IF(W30&gt;='Request #39'!AA30,"OK","Alert,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197">
        <f t="shared" si="3"/>
        <v>25</v>
      </c>
      <c r="H31" s="198" t="str">
        <f t="shared" si="3"/>
        <v>Other Contracts</v>
      </c>
      <c r="I31" s="247">
        <f t="shared" si="3"/>
        <v>0</v>
      </c>
      <c r="K31" s="159"/>
      <c r="L31" s="157"/>
      <c r="M31" s="157"/>
      <c r="N31" s="154"/>
      <c r="O31" s="155"/>
      <c r="P31" s="158"/>
      <c r="R31" s="50" t="str">
        <f>IF(V31='Request #39'!V31,"OK","Send in Change Order")</f>
        <v>OK</v>
      </c>
      <c r="S31" s="85">
        <v>20</v>
      </c>
      <c r="T31" s="86" t="s">
        <v>71</v>
      </c>
      <c r="U31" s="218">
        <f>'Request #39'!U31</f>
        <v>0</v>
      </c>
      <c r="V31" s="87">
        <f>'Request #39'!V31</f>
        <v>0</v>
      </c>
      <c r="W31" s="88">
        <f>SUMIF(F7:F79,20,E7:E79)</f>
        <v>0</v>
      </c>
      <c r="X31" s="88">
        <f>'Request #39'!Y31</f>
        <v>0</v>
      </c>
      <c r="Y31" s="88">
        <f t="shared" si="1"/>
        <v>0</v>
      </c>
      <c r="Z31" s="88">
        <f t="shared" si="2"/>
        <v>0</v>
      </c>
      <c r="AA31" s="88">
        <f>SUMIF(P7:P79,20,O7:O79)</f>
        <v>0</v>
      </c>
      <c r="AB31" s="50" t="str">
        <f>IF(W31&gt;='Request #39'!AA31,"OK","Alert,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197">
        <f t="shared" si="3"/>
        <v>26</v>
      </c>
      <c r="H32" s="198" t="str">
        <f t="shared" si="3"/>
        <v>Other Fees</v>
      </c>
      <c r="I32" s="247">
        <f t="shared" si="3"/>
        <v>0</v>
      </c>
      <c r="K32" s="159"/>
      <c r="L32" s="157"/>
      <c r="M32" s="157"/>
      <c r="N32" s="154"/>
      <c r="O32" s="155"/>
      <c r="P32" s="158"/>
      <c r="R32" s="50" t="str">
        <f>IF(V32='Request #39'!V32,"OK","Send in Change Order")</f>
        <v>OK</v>
      </c>
      <c r="S32" s="85">
        <v>21</v>
      </c>
      <c r="T32" s="86" t="s">
        <v>71</v>
      </c>
      <c r="U32" s="218">
        <f>'Request #39'!U32</f>
        <v>0</v>
      </c>
      <c r="V32" s="87">
        <f>'Request #39'!V32</f>
        <v>0</v>
      </c>
      <c r="W32" s="88">
        <f>SUMIF(F7:F79,21,E7:E79)</f>
        <v>0</v>
      </c>
      <c r="X32" s="88">
        <f>'Request #39'!Y32</f>
        <v>0</v>
      </c>
      <c r="Y32" s="88">
        <f t="shared" si="1"/>
        <v>0</v>
      </c>
      <c r="Z32" s="88">
        <f t="shared" si="2"/>
        <v>0</v>
      </c>
      <c r="AA32" s="88">
        <f>SUMIF(P7:P79,21,O7:O79)</f>
        <v>0</v>
      </c>
      <c r="AB32" s="50" t="str">
        <f>IF(W32&gt;='Request #39'!AA32,"OK","Alert,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197">
        <f t="shared" si="3"/>
        <v>27</v>
      </c>
      <c r="H33" s="198" t="str">
        <f t="shared" si="3"/>
        <v>Other Fees</v>
      </c>
      <c r="I33" s="247">
        <f t="shared" si="3"/>
        <v>0</v>
      </c>
      <c r="K33" s="159"/>
      <c r="L33" s="157"/>
      <c r="M33" s="157"/>
      <c r="N33" s="154"/>
      <c r="O33" s="155"/>
      <c r="P33" s="158"/>
      <c r="R33" s="50" t="str">
        <f>IF(V33='Request #39'!V33,"OK","Send in Change Order")</f>
        <v>OK</v>
      </c>
      <c r="S33" s="85">
        <v>22</v>
      </c>
      <c r="T33" s="86" t="s">
        <v>71</v>
      </c>
      <c r="U33" s="218">
        <f>'Request #39'!U33</f>
        <v>0</v>
      </c>
      <c r="V33" s="87">
        <f>'Request #39'!V33</f>
        <v>0</v>
      </c>
      <c r="W33" s="88">
        <f>SUMIF(F7:F79,22,E7:E79)</f>
        <v>0</v>
      </c>
      <c r="X33" s="88">
        <f>'Request #39'!Y33</f>
        <v>0</v>
      </c>
      <c r="Y33" s="88">
        <f t="shared" si="1"/>
        <v>0</v>
      </c>
      <c r="Z33" s="88">
        <f t="shared" si="2"/>
        <v>0</v>
      </c>
      <c r="AA33" s="88">
        <f>SUMIF(P7:P79,22,O7:O79)</f>
        <v>0</v>
      </c>
      <c r="AB33" s="50" t="str">
        <f>IF(W33&gt;='Request #39'!AA33,"OK","Alert,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197">
        <f t="shared" si="3"/>
        <v>28</v>
      </c>
      <c r="H34" s="198" t="str">
        <f t="shared" si="3"/>
        <v>Other Fees</v>
      </c>
      <c r="I34" s="247">
        <f t="shared" si="3"/>
        <v>0</v>
      </c>
      <c r="K34" s="159"/>
      <c r="L34" s="157"/>
      <c r="M34" s="157"/>
      <c r="N34" s="154"/>
      <c r="O34" s="155"/>
      <c r="P34" s="158"/>
      <c r="R34" s="50" t="str">
        <f>IF(V34='Request #39'!V34,"OK","Send in Change Order")</f>
        <v>OK</v>
      </c>
      <c r="S34" s="85">
        <v>23</v>
      </c>
      <c r="T34" s="86" t="s">
        <v>71</v>
      </c>
      <c r="U34" s="218">
        <f>'Request #39'!U34</f>
        <v>0</v>
      </c>
      <c r="V34" s="87">
        <f>'Request #39'!V34</f>
        <v>0</v>
      </c>
      <c r="W34" s="88">
        <f>SUMIF(F7:F79,23,E7:E79)</f>
        <v>0</v>
      </c>
      <c r="X34" s="88">
        <f>'Request #39'!Y34</f>
        <v>0</v>
      </c>
      <c r="Y34" s="88">
        <f t="shared" si="1"/>
        <v>0</v>
      </c>
      <c r="Z34" s="88">
        <f t="shared" si="2"/>
        <v>0</v>
      </c>
      <c r="AA34" s="88">
        <f>SUMIF(P7:P79,23,O7:O79)</f>
        <v>0</v>
      </c>
      <c r="AB34" s="50" t="str">
        <f>IF(W34&gt;='Request #39'!AA34,"OK","Alert,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197">
        <f t="shared" si="3"/>
        <v>29</v>
      </c>
      <c r="H35" s="198" t="str">
        <f t="shared" si="3"/>
        <v>Other Fees</v>
      </c>
      <c r="I35" s="247">
        <f t="shared" si="3"/>
        <v>0</v>
      </c>
      <c r="K35" s="159"/>
      <c r="L35" s="157"/>
      <c r="M35" s="157"/>
      <c r="N35" s="154"/>
      <c r="O35" s="155"/>
      <c r="P35" s="158"/>
      <c r="R35" s="50" t="str">
        <f>IF(V36='Request #39'!V36,"OK","Send in Change Order")</f>
        <v>OK</v>
      </c>
      <c r="S35" s="85">
        <v>24</v>
      </c>
      <c r="T35" s="86" t="s">
        <v>71</v>
      </c>
      <c r="U35" s="218">
        <f>'Request #39'!U35</f>
        <v>0</v>
      </c>
      <c r="V35" s="87">
        <f>'Request #39'!V35</f>
        <v>0</v>
      </c>
      <c r="W35" s="88">
        <f>SUMIF(F7:F79,24,E7:E79)</f>
        <v>0</v>
      </c>
      <c r="X35" s="88">
        <f>'Request #39'!Y35</f>
        <v>0</v>
      </c>
      <c r="Y35" s="88">
        <f t="shared" si="1"/>
        <v>0</v>
      </c>
      <c r="Z35" s="88">
        <f t="shared" si="2"/>
        <v>0</v>
      </c>
      <c r="AA35" s="88">
        <f>SUMIF(P7:P79,24,O7:O79)</f>
        <v>0</v>
      </c>
      <c r="AB35" s="50" t="str">
        <f>IF(W36&gt;='Request #39'!AA36,"OK","Alert,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197">
        <f t="shared" si="3"/>
        <v>30</v>
      </c>
      <c r="H36" s="198" t="str">
        <f t="shared" si="3"/>
        <v>Other Fees</v>
      </c>
      <c r="I36" s="247">
        <f t="shared" si="3"/>
        <v>0</v>
      </c>
      <c r="K36" s="159"/>
      <c r="L36" s="157"/>
      <c r="M36" s="157"/>
      <c r="N36" s="154"/>
      <c r="O36" s="155"/>
      <c r="P36" s="158"/>
      <c r="R36" s="50" t="str">
        <f>IF(V36='Request #39'!V36,"OK","Send in Change Order")</f>
        <v>OK</v>
      </c>
      <c r="S36" s="85">
        <v>25</v>
      </c>
      <c r="T36" s="86" t="s">
        <v>71</v>
      </c>
      <c r="U36" s="218">
        <f>'Request #39'!U36</f>
        <v>0</v>
      </c>
      <c r="V36" s="87">
        <f>'Request #39'!V36</f>
        <v>0</v>
      </c>
      <c r="W36" s="88">
        <f>SUMIF(F7:F79,25,E7:E79)</f>
        <v>0</v>
      </c>
      <c r="X36" s="88">
        <f>'Request #39'!Y36</f>
        <v>0</v>
      </c>
      <c r="Y36" s="88">
        <f t="shared" si="1"/>
        <v>0</v>
      </c>
      <c r="Z36" s="88">
        <f t="shared" si="2"/>
        <v>0</v>
      </c>
      <c r="AA36" s="88">
        <f>SUMIF(P7:P79,25,O7:O79)</f>
        <v>0</v>
      </c>
      <c r="AB36" s="50" t="str">
        <f>IF(W36&gt;='Request #39'!AA36,"OK","Alert,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197">
        <f t="shared" si="3"/>
        <v>31</v>
      </c>
      <c r="H37" s="198" t="str">
        <f t="shared" si="3"/>
        <v>Other Fees</v>
      </c>
      <c r="I37" s="247">
        <f t="shared" si="3"/>
        <v>0</v>
      </c>
      <c r="K37" s="159"/>
      <c r="L37" s="157"/>
      <c r="M37" s="157"/>
      <c r="N37" s="154"/>
      <c r="O37" s="155"/>
      <c r="P37" s="158"/>
      <c r="R37" s="50" t="str">
        <f>IF(V37='Request #39'!V37,"OK","Send in Change Order")</f>
        <v>OK</v>
      </c>
      <c r="S37" s="85">
        <v>26</v>
      </c>
      <c r="T37" s="86" t="s">
        <v>82</v>
      </c>
      <c r="U37" s="218">
        <f>'Request #39'!U37</f>
        <v>0</v>
      </c>
      <c r="V37" s="87">
        <f>'Request #39'!V37</f>
        <v>0</v>
      </c>
      <c r="W37" s="88">
        <f>SUMIF(F7:F79,26,E7:E79)</f>
        <v>0</v>
      </c>
      <c r="X37" s="88">
        <f>'Request #39'!Y37</f>
        <v>0</v>
      </c>
      <c r="Y37" s="88">
        <f t="shared" si="1"/>
        <v>0</v>
      </c>
      <c r="Z37" s="88">
        <f t="shared" si="2"/>
        <v>0</v>
      </c>
      <c r="AA37" s="88">
        <f>SUMIF(P7:P79,26,O7:O79)</f>
        <v>0</v>
      </c>
      <c r="AB37" s="50" t="str">
        <f>IF(W37&gt;='Request #39'!AA37,"OK","Alert,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197">
        <f t="shared" si="3"/>
        <v>32</v>
      </c>
      <c r="H38" s="198" t="str">
        <f t="shared" si="3"/>
        <v>Other Fees</v>
      </c>
      <c r="I38" s="247">
        <f t="shared" si="3"/>
        <v>0</v>
      </c>
      <c r="K38" s="159"/>
      <c r="L38" s="157"/>
      <c r="M38" s="157"/>
      <c r="N38" s="154"/>
      <c r="O38" s="155"/>
      <c r="P38" s="158"/>
      <c r="R38" s="50" t="str">
        <f>IF(V38='Request #39'!V38,"OK","Send in Change Order")</f>
        <v>OK</v>
      </c>
      <c r="S38" s="85">
        <v>27</v>
      </c>
      <c r="T38" s="86" t="s">
        <v>82</v>
      </c>
      <c r="U38" s="218">
        <f>'Request #39'!U38</f>
        <v>0</v>
      </c>
      <c r="V38" s="87">
        <f>'Request #39'!V38</f>
        <v>0</v>
      </c>
      <c r="W38" s="88">
        <f>SUMIF(F7:F79,27,E7:E79)</f>
        <v>0</v>
      </c>
      <c r="X38" s="88">
        <f>'Request #39'!Y38</f>
        <v>0</v>
      </c>
      <c r="Y38" s="88">
        <f t="shared" si="1"/>
        <v>0</v>
      </c>
      <c r="Z38" s="88">
        <f t="shared" si="2"/>
        <v>0</v>
      </c>
      <c r="AA38" s="88">
        <f>SUMIF(P7:P79,27,O7:O79)</f>
        <v>0</v>
      </c>
      <c r="AB38" s="50" t="str">
        <f>IF(W38&gt;='Request #39'!AA38,"OK","Alert,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197">
        <f t="shared" si="3"/>
        <v>33</v>
      </c>
      <c r="H39" s="198" t="str">
        <f t="shared" si="3"/>
        <v>Other Fees</v>
      </c>
      <c r="I39" s="247">
        <f t="shared" si="3"/>
        <v>0</v>
      </c>
      <c r="K39" s="159"/>
      <c r="L39" s="157"/>
      <c r="M39" s="157"/>
      <c r="N39" s="154"/>
      <c r="O39" s="155"/>
      <c r="P39" s="158"/>
      <c r="R39" s="50" t="str">
        <f>IF(V39='Request #39'!V39,"OK","Send in Change Order")</f>
        <v>OK</v>
      </c>
      <c r="S39" s="85">
        <v>28</v>
      </c>
      <c r="T39" s="86" t="s">
        <v>82</v>
      </c>
      <c r="U39" s="218">
        <f>'Request #39'!U39</f>
        <v>0</v>
      </c>
      <c r="V39" s="87">
        <f>'Request #39'!V39</f>
        <v>0</v>
      </c>
      <c r="W39" s="88">
        <f>SUMIF(F7:F79,28,E7:E79)</f>
        <v>0</v>
      </c>
      <c r="X39" s="88">
        <f>'Request #39'!Y39</f>
        <v>0</v>
      </c>
      <c r="Y39" s="88">
        <f t="shared" si="1"/>
        <v>0</v>
      </c>
      <c r="Z39" s="88">
        <f t="shared" si="2"/>
        <v>0</v>
      </c>
      <c r="AA39" s="88">
        <f>SUMIF(P7:P79,28,O7:O79)</f>
        <v>0</v>
      </c>
      <c r="AB39" s="50" t="str">
        <f>IF(W39&gt;='Request #39'!AA39,"OK","Alert,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197">
        <f t="shared" ref="G40:I55" si="4">S45</f>
        <v>0</v>
      </c>
      <c r="H40" s="198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#39'!V40,"OK","Send in Change Order")</f>
        <v>OK</v>
      </c>
      <c r="S40" s="85">
        <v>29</v>
      </c>
      <c r="T40" s="86" t="s">
        <v>82</v>
      </c>
      <c r="U40" s="218">
        <f>'Request #39'!U40</f>
        <v>0</v>
      </c>
      <c r="V40" s="87">
        <f>'Request #39'!V40</f>
        <v>0</v>
      </c>
      <c r="W40" s="88">
        <f>SUMIF(F7:F79,29,E7:E79)</f>
        <v>0</v>
      </c>
      <c r="X40" s="88">
        <f>'Request #39'!Y40</f>
        <v>0</v>
      </c>
      <c r="Y40" s="88">
        <f t="shared" si="1"/>
        <v>0</v>
      </c>
      <c r="Z40" s="88">
        <f t="shared" si="2"/>
        <v>0</v>
      </c>
      <c r="AA40" s="88">
        <f>SUMIF(P7:P79,29,O7:O79)</f>
        <v>0</v>
      </c>
      <c r="AB40" s="50" t="str">
        <f>IF(W40&gt;='Request #39'!AA40,"OK","Alert,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197" t="str">
        <f t="shared" si="4"/>
        <v>Cost</v>
      </c>
      <c r="H41" s="198">
        <f t="shared" si="4"/>
        <v>0</v>
      </c>
      <c r="I41" s="247">
        <f t="shared" si="4"/>
        <v>0</v>
      </c>
      <c r="K41" s="159"/>
      <c r="L41" s="157"/>
      <c r="M41" s="157"/>
      <c r="N41" s="154"/>
      <c r="O41" s="155"/>
      <c r="P41" s="158"/>
      <c r="R41" s="50" t="str">
        <f>IF(V41='Request #39'!V41,"OK","Send in Change Order")</f>
        <v>OK</v>
      </c>
      <c r="S41" s="85">
        <v>30</v>
      </c>
      <c r="T41" s="86" t="s">
        <v>82</v>
      </c>
      <c r="U41" s="218">
        <f>'Request #39'!U41</f>
        <v>0</v>
      </c>
      <c r="V41" s="87">
        <f>'Request #39'!V41</f>
        <v>0</v>
      </c>
      <c r="W41" s="88">
        <f>SUMIF(F7:F79,30,E7:E79)</f>
        <v>0</v>
      </c>
      <c r="X41" s="88">
        <f>'Request #39'!Y41</f>
        <v>0</v>
      </c>
      <c r="Y41" s="88">
        <f t="shared" si="1"/>
        <v>0</v>
      </c>
      <c r="Z41" s="88">
        <f t="shared" si="2"/>
        <v>0</v>
      </c>
      <c r="AA41" s="88">
        <f>SUMIF(P7:P79,30,O7:O79)</f>
        <v>0</v>
      </c>
      <c r="AB41" s="50" t="str">
        <f>IF(W41&gt;='Request #39'!AA41,"OK","Alert,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197" t="str">
        <f t="shared" si="4"/>
        <v>Item</v>
      </c>
      <c r="H42" s="198" t="str">
        <f t="shared" si="4"/>
        <v>Account Name</v>
      </c>
      <c r="I42" s="247">
        <f t="shared" si="4"/>
        <v>0</v>
      </c>
      <c r="K42" s="159"/>
      <c r="L42" s="157"/>
      <c r="M42" s="157"/>
      <c r="N42" s="154"/>
      <c r="O42" s="155"/>
      <c r="P42" s="158"/>
      <c r="R42" s="50" t="str">
        <f>IF(V42='Request #39'!V42,"OK","Send in Change Order")</f>
        <v>OK</v>
      </c>
      <c r="S42" s="85">
        <v>31</v>
      </c>
      <c r="T42" s="86" t="s">
        <v>82</v>
      </c>
      <c r="U42" s="218">
        <f>'Request #39'!U42</f>
        <v>0</v>
      </c>
      <c r="V42" s="87">
        <f>'Request #39'!V42</f>
        <v>0</v>
      </c>
      <c r="W42" s="88">
        <f>SUMIF(F7:F79,31,E7:E79)</f>
        <v>0</v>
      </c>
      <c r="X42" s="88">
        <f>'Request #39'!Y42</f>
        <v>0</v>
      </c>
      <c r="Y42" s="88">
        <f t="shared" si="1"/>
        <v>0</v>
      </c>
      <c r="Z42" s="88">
        <f t="shared" si="2"/>
        <v>0</v>
      </c>
      <c r="AA42" s="88">
        <f>SUMIF(P7:P79,31,O7:O79)</f>
        <v>0</v>
      </c>
      <c r="AB42" s="50" t="str">
        <f>IF(W42&gt;='Request #39'!AA42,"OK","Alert,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197">
        <f t="shared" si="4"/>
        <v>0</v>
      </c>
      <c r="H43" s="198">
        <f t="shared" si="4"/>
        <v>0</v>
      </c>
      <c r="I43" s="247">
        <f t="shared" si="4"/>
        <v>0</v>
      </c>
      <c r="K43" s="159"/>
      <c r="L43" s="157"/>
      <c r="M43" s="157"/>
      <c r="N43" s="154"/>
      <c r="O43" s="155"/>
      <c r="P43" s="158"/>
      <c r="R43" s="50" t="str">
        <f>IF(V43='Request #39'!V43,"OK","Send in Change Order")</f>
        <v>OK</v>
      </c>
      <c r="S43" s="85">
        <v>32</v>
      </c>
      <c r="T43" s="86" t="s">
        <v>82</v>
      </c>
      <c r="U43" s="218">
        <f>'Request #39'!U43</f>
        <v>0</v>
      </c>
      <c r="V43" s="87">
        <f>'Request #39'!V43</f>
        <v>0</v>
      </c>
      <c r="W43" s="88">
        <f>SUMIF(F7:F79,32,E7:E79)</f>
        <v>0</v>
      </c>
      <c r="X43" s="88">
        <f>'Request #39'!Y43</f>
        <v>0</v>
      </c>
      <c r="Y43" s="88">
        <f t="shared" si="1"/>
        <v>0</v>
      </c>
      <c r="Z43" s="88">
        <f t="shared" si="2"/>
        <v>0</v>
      </c>
      <c r="AA43" s="88">
        <f>SUMIF(P7:P79,32,O7:O79)</f>
        <v>0</v>
      </c>
      <c r="AB43" s="50" t="str">
        <f>IF(W43&gt;='Request #39'!AA43,"OK","Alert,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197">
        <f t="shared" si="4"/>
        <v>38</v>
      </c>
      <c r="H44" s="198" t="str">
        <f t="shared" si="4"/>
        <v>Other Fees</v>
      </c>
      <c r="I44" s="247">
        <f t="shared" si="4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#39'!V44,"OK","Send in Change Order")</f>
        <v>OK</v>
      </c>
      <c r="S44" s="85">
        <v>33</v>
      </c>
      <c r="T44" s="86" t="s">
        <v>82</v>
      </c>
      <c r="U44" s="218">
        <f>'Request #39'!U44</f>
        <v>0</v>
      </c>
      <c r="V44" s="87">
        <f>'Request #39'!V44</f>
        <v>0</v>
      </c>
      <c r="W44" s="88">
        <f>SUMIF(F7:F79,33,E7:E79)</f>
        <v>0</v>
      </c>
      <c r="X44" s="88">
        <f>'Request #39'!Y44</f>
        <v>0</v>
      </c>
      <c r="Y44" s="88">
        <f t="shared" si="1"/>
        <v>0</v>
      </c>
      <c r="Z44" s="88">
        <f t="shared" si="2"/>
        <v>0</v>
      </c>
      <c r="AA44" s="88">
        <f>SUMIF(P7:P79,33,O7:O79)</f>
        <v>0</v>
      </c>
      <c r="AB44" s="50" t="str">
        <f>IF(W44&gt;='Request #39'!AA44,"OK","Alert,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4"/>
        <v>39</v>
      </c>
      <c r="H45" s="205" t="str">
        <f t="shared" si="4"/>
        <v>Other Fees</v>
      </c>
      <c r="I45" s="247">
        <f t="shared" si="4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4"/>
        <v>40</v>
      </c>
      <c r="H46" s="205" t="str">
        <f t="shared" si="4"/>
        <v>Other Fees</v>
      </c>
      <c r="I46" s="247">
        <f t="shared" si="4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197">
        <f t="shared" si="4"/>
        <v>41</v>
      </c>
      <c r="H47" s="198" t="str">
        <f t="shared" si="4"/>
        <v>Other Fees</v>
      </c>
      <c r="I47" s="247">
        <f t="shared" si="4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197">
        <f t="shared" si="4"/>
        <v>42</v>
      </c>
      <c r="H48" s="198" t="str">
        <f t="shared" si="4"/>
        <v>Other Fees</v>
      </c>
      <c r="I48" s="247">
        <f t="shared" si="4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197">
        <f t="shared" si="4"/>
        <v>43</v>
      </c>
      <c r="H49" s="198" t="str">
        <f t="shared" si="4"/>
        <v>Other Fees</v>
      </c>
      <c r="I49" s="247">
        <f t="shared" si="4"/>
        <v>0</v>
      </c>
      <c r="K49" s="159"/>
      <c r="L49" s="157"/>
      <c r="M49" s="157"/>
      <c r="N49" s="154"/>
      <c r="O49" s="155"/>
      <c r="P49" s="158"/>
      <c r="R49" s="50" t="str">
        <f>IF(V49='Request #39'!V49,"OK","Send in Change Order")</f>
        <v>OK</v>
      </c>
      <c r="S49" s="85">
        <v>38</v>
      </c>
      <c r="T49" s="86" t="s">
        <v>82</v>
      </c>
      <c r="U49" s="218">
        <f>'Request #39'!U49</f>
        <v>0</v>
      </c>
      <c r="V49" s="87">
        <f>'Request #39'!V49</f>
        <v>0</v>
      </c>
      <c r="W49" s="88">
        <f>SUMIF(F7:F79,38,E7:E79)</f>
        <v>0</v>
      </c>
      <c r="X49" s="88">
        <f>'Request #39'!Y49</f>
        <v>0</v>
      </c>
      <c r="Y49" s="88">
        <f t="shared" si="1"/>
        <v>0</v>
      </c>
      <c r="Z49" s="88">
        <f t="shared" si="2"/>
        <v>0</v>
      </c>
      <c r="AA49" s="88">
        <f>SUMIF(P7:P79,38,O7:O79)</f>
        <v>0</v>
      </c>
      <c r="AB49" s="50" t="str">
        <f>IF(W49&gt;='Request #39'!AA49,"OK","Alert,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197">
        <f t="shared" si="4"/>
        <v>44</v>
      </c>
      <c r="H50" s="198" t="str">
        <f t="shared" si="4"/>
        <v>Other Fees</v>
      </c>
      <c r="I50" s="247">
        <f t="shared" si="4"/>
        <v>0</v>
      </c>
      <c r="K50" s="159"/>
      <c r="L50" s="157"/>
      <c r="M50" s="157"/>
      <c r="N50" s="154"/>
      <c r="O50" s="155"/>
      <c r="P50" s="158"/>
      <c r="R50" s="50" t="str">
        <f>IF(V50='Request #39'!V50,"OK","Send in Change Order")</f>
        <v>OK</v>
      </c>
      <c r="S50" s="85">
        <v>39</v>
      </c>
      <c r="T50" s="86" t="s">
        <v>82</v>
      </c>
      <c r="U50" s="218">
        <f>'Request #39'!U50</f>
        <v>0</v>
      </c>
      <c r="V50" s="87">
        <f>'Request #39'!V50</f>
        <v>0</v>
      </c>
      <c r="W50" s="88">
        <f>SUMIF(F7:F79,39,E7:E79)</f>
        <v>0</v>
      </c>
      <c r="X50" s="88">
        <f>'Request #39'!Y50</f>
        <v>0</v>
      </c>
      <c r="Y50" s="88">
        <f t="shared" si="1"/>
        <v>0</v>
      </c>
      <c r="Z50" s="88">
        <f t="shared" si="2"/>
        <v>0</v>
      </c>
      <c r="AA50" s="88">
        <f>SUMIF(P7:P79,39,O7:O79)</f>
        <v>0</v>
      </c>
      <c r="AB50" s="50" t="str">
        <f>IF(W50&gt;='Request #39'!AA50,"OK","Alert,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197">
        <f t="shared" si="4"/>
        <v>45</v>
      </c>
      <c r="H51" s="198" t="str">
        <f t="shared" si="4"/>
        <v>Other Fees</v>
      </c>
      <c r="I51" s="247">
        <f t="shared" si="4"/>
        <v>0</v>
      </c>
      <c r="K51" s="159"/>
      <c r="L51" s="157"/>
      <c r="M51" s="157"/>
      <c r="N51" s="154"/>
      <c r="O51" s="155"/>
      <c r="P51" s="158"/>
      <c r="R51" s="50" t="str">
        <f>IF(V51='Request #39'!V51,"OK","Send in Change Order")</f>
        <v>OK</v>
      </c>
      <c r="S51" s="85">
        <v>40</v>
      </c>
      <c r="T51" s="86" t="s">
        <v>82</v>
      </c>
      <c r="U51" s="218">
        <f>'Request #39'!U51</f>
        <v>0</v>
      </c>
      <c r="V51" s="87">
        <f>'Request #39'!V51</f>
        <v>0</v>
      </c>
      <c r="W51" s="88">
        <f>SUMIF(F7:F79,40,E7:E79)</f>
        <v>0</v>
      </c>
      <c r="X51" s="88">
        <f>'Request #39'!Y51</f>
        <v>0</v>
      </c>
      <c r="Y51" s="88">
        <f t="shared" si="1"/>
        <v>0</v>
      </c>
      <c r="Z51" s="88">
        <f t="shared" si="2"/>
        <v>0</v>
      </c>
      <c r="AA51" s="88">
        <f>SUMIF(P7:P79,40,O7:O79)</f>
        <v>0</v>
      </c>
      <c r="AB51" s="50" t="str">
        <f>IF(W51&gt;='Request #39'!AA51,"OK","Alert,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197">
        <f t="shared" si="4"/>
        <v>46</v>
      </c>
      <c r="H52" s="198" t="str">
        <f t="shared" si="4"/>
        <v>Other Fees</v>
      </c>
      <c r="I52" s="247">
        <f t="shared" si="4"/>
        <v>0</v>
      </c>
      <c r="K52" s="159"/>
      <c r="L52" s="157"/>
      <c r="M52" s="157"/>
      <c r="N52" s="154"/>
      <c r="O52" s="155"/>
      <c r="P52" s="158"/>
      <c r="R52" s="50" t="str">
        <f>IF(V52='Request #39'!V52,"OK","Send in Change Order")</f>
        <v>OK</v>
      </c>
      <c r="S52" s="85">
        <v>41</v>
      </c>
      <c r="T52" s="86" t="s">
        <v>82</v>
      </c>
      <c r="U52" s="218">
        <f>'Request #39'!U52</f>
        <v>0</v>
      </c>
      <c r="V52" s="87">
        <f>'Request #39'!V52</f>
        <v>0</v>
      </c>
      <c r="W52" s="88">
        <f>SUMIF(F7:F79,41,E7:E79)</f>
        <v>0</v>
      </c>
      <c r="X52" s="88">
        <f>'Request #39'!Y52</f>
        <v>0</v>
      </c>
      <c r="Y52" s="88">
        <f t="shared" si="1"/>
        <v>0</v>
      </c>
      <c r="Z52" s="88">
        <f t="shared" si="2"/>
        <v>0</v>
      </c>
      <c r="AA52" s="88">
        <f>SUMIF(P7:P79,41,O7:O79)</f>
        <v>0</v>
      </c>
      <c r="AB52" s="50" t="str">
        <f>IF(W52&gt;='Request #39'!AA52,"OK","Alert,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197">
        <f t="shared" si="4"/>
        <v>47</v>
      </c>
      <c r="H53" s="198" t="str">
        <f t="shared" si="4"/>
        <v>Other Fees</v>
      </c>
      <c r="I53" s="247">
        <f t="shared" si="4"/>
        <v>0</v>
      </c>
      <c r="K53" s="159"/>
      <c r="L53" s="157"/>
      <c r="M53" s="157"/>
      <c r="N53" s="154"/>
      <c r="O53" s="155"/>
      <c r="P53" s="158"/>
      <c r="R53" s="50" t="str">
        <f>IF(V53='Request #39'!V53,"OK","Send in Change Order")</f>
        <v>OK</v>
      </c>
      <c r="S53" s="85">
        <v>42</v>
      </c>
      <c r="T53" s="86" t="s">
        <v>82</v>
      </c>
      <c r="U53" s="218">
        <f>'Request #39'!U53</f>
        <v>0</v>
      </c>
      <c r="V53" s="87">
        <f>'Request #39'!V53</f>
        <v>0</v>
      </c>
      <c r="W53" s="88">
        <f>SUMIF(F7:F79,42,E7:E79)</f>
        <v>0</v>
      </c>
      <c r="X53" s="88">
        <f>'Request #39'!Y53</f>
        <v>0</v>
      </c>
      <c r="Y53" s="88">
        <f t="shared" si="1"/>
        <v>0</v>
      </c>
      <c r="Z53" s="88">
        <f t="shared" si="2"/>
        <v>0</v>
      </c>
      <c r="AA53" s="88">
        <f>SUMIF(P7:P79,42,O7:O79)</f>
        <v>0</v>
      </c>
      <c r="AB53" s="50" t="str">
        <f>IF(W53&gt;='Request #39'!AA53,"OK","Alert,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197">
        <f t="shared" si="4"/>
        <v>48</v>
      </c>
      <c r="H54" s="198" t="str">
        <f t="shared" si="4"/>
        <v>Other Fees</v>
      </c>
      <c r="I54" s="247">
        <f t="shared" si="4"/>
        <v>0</v>
      </c>
      <c r="K54" s="159"/>
      <c r="L54" s="157"/>
      <c r="M54" s="157"/>
      <c r="N54" s="154"/>
      <c r="O54" s="155"/>
      <c r="P54" s="158"/>
      <c r="R54" s="50" t="str">
        <f>IF(V54='Request #39'!V54,"OK","Send in Change Order")</f>
        <v>OK</v>
      </c>
      <c r="S54" s="85">
        <v>43</v>
      </c>
      <c r="T54" s="86" t="s">
        <v>82</v>
      </c>
      <c r="U54" s="218">
        <f>'Request #39'!U54</f>
        <v>0</v>
      </c>
      <c r="V54" s="87">
        <f>'Request #39'!V54</f>
        <v>0</v>
      </c>
      <c r="W54" s="88">
        <f>SUMIF(F7:F79,43,E7:E79)</f>
        <v>0</v>
      </c>
      <c r="X54" s="88">
        <f>'Request #39'!Y54</f>
        <v>0</v>
      </c>
      <c r="Y54" s="88">
        <f t="shared" si="1"/>
        <v>0</v>
      </c>
      <c r="Z54" s="88">
        <f t="shared" si="2"/>
        <v>0</v>
      </c>
      <c r="AA54" s="88">
        <f>SUMIF(P7:P79,43,O7:O79)</f>
        <v>0</v>
      </c>
      <c r="AB54" s="50" t="str">
        <f>IF(W54&gt;='Request #39'!AA54,"OK","Alert,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197">
        <f t="shared" si="4"/>
        <v>49</v>
      </c>
      <c r="H55" s="198" t="str">
        <f t="shared" si="4"/>
        <v>Other Fees</v>
      </c>
      <c r="I55" s="247">
        <f t="shared" si="4"/>
        <v>0</v>
      </c>
      <c r="K55" s="159"/>
      <c r="L55" s="157"/>
      <c r="M55" s="157"/>
      <c r="N55" s="154"/>
      <c r="O55" s="155"/>
      <c r="P55" s="158"/>
      <c r="R55" s="50" t="str">
        <f>IF(V55='Request #39'!V55,"OK","Send in Change Order")</f>
        <v>OK</v>
      </c>
      <c r="S55" s="85">
        <v>44</v>
      </c>
      <c r="T55" s="86" t="s">
        <v>82</v>
      </c>
      <c r="U55" s="218">
        <f>'Request #39'!U55</f>
        <v>0</v>
      </c>
      <c r="V55" s="87">
        <f>'Request #39'!V55</f>
        <v>0</v>
      </c>
      <c r="W55" s="88">
        <f>SUMIF(F7:F79,44,E7:E79)</f>
        <v>0</v>
      </c>
      <c r="X55" s="88">
        <f>'Request #39'!Y55</f>
        <v>0</v>
      </c>
      <c r="Y55" s="88">
        <f t="shared" si="1"/>
        <v>0</v>
      </c>
      <c r="Z55" s="88">
        <f t="shared" si="2"/>
        <v>0</v>
      </c>
      <c r="AA55" s="88">
        <f>SUMIF(P7:P79,44,O7:O79)</f>
        <v>0</v>
      </c>
      <c r="AB55" s="50" t="str">
        <f>IF(W55&gt;='Request #39'!AA55,"OK","Alert,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197">
        <f t="shared" ref="G56:I62" si="5">S61</f>
        <v>50</v>
      </c>
      <c r="H56" s="198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#39'!V56,"OK","Send in Change Order")</f>
        <v>OK</v>
      </c>
      <c r="S56" s="85">
        <v>45</v>
      </c>
      <c r="T56" s="86" t="s">
        <v>82</v>
      </c>
      <c r="U56" s="218">
        <f>'Request #39'!U56</f>
        <v>0</v>
      </c>
      <c r="V56" s="87">
        <f>'Request #39'!V56</f>
        <v>0</v>
      </c>
      <c r="W56" s="88">
        <f>SUMIF(F7:F79,45,E7:E79)</f>
        <v>0</v>
      </c>
      <c r="X56" s="88">
        <f>'Request #39'!Y56</f>
        <v>0</v>
      </c>
      <c r="Y56" s="88">
        <f t="shared" si="1"/>
        <v>0</v>
      </c>
      <c r="Z56" s="88">
        <f t="shared" si="2"/>
        <v>0</v>
      </c>
      <c r="AA56" s="88">
        <f>SUMIF(P7:P79,45,O7:O79)</f>
        <v>0</v>
      </c>
      <c r="AB56" s="50" t="str">
        <f>IF(W56&gt;='Request #39'!AA56,"OK","Alert,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197">
        <f t="shared" si="5"/>
        <v>51</v>
      </c>
      <c r="H57" s="198" t="str">
        <f t="shared" si="5"/>
        <v>Other Fees</v>
      </c>
      <c r="I57" s="247">
        <f t="shared" si="5"/>
        <v>0</v>
      </c>
      <c r="K57" s="159"/>
      <c r="L57" s="157"/>
      <c r="M57" s="157"/>
      <c r="N57" s="154"/>
      <c r="O57" s="155"/>
      <c r="P57" s="158"/>
      <c r="R57" s="50" t="str">
        <f>IF(V57='Request #39'!V57,"OK","Send in Change Order")</f>
        <v>OK</v>
      </c>
      <c r="S57" s="85">
        <v>46</v>
      </c>
      <c r="T57" s="86" t="s">
        <v>82</v>
      </c>
      <c r="U57" s="218">
        <f>'Request #39'!U57</f>
        <v>0</v>
      </c>
      <c r="V57" s="87">
        <f>'Request #39'!V57</f>
        <v>0</v>
      </c>
      <c r="W57" s="88">
        <f>SUMIF(F7:F79,46,E7:E79)</f>
        <v>0</v>
      </c>
      <c r="X57" s="88">
        <f>'Request #39'!Y57</f>
        <v>0</v>
      </c>
      <c r="Y57" s="88">
        <f t="shared" si="1"/>
        <v>0</v>
      </c>
      <c r="Z57" s="88">
        <f t="shared" si="2"/>
        <v>0</v>
      </c>
      <c r="AA57" s="88">
        <f>SUMIF(P7:P79,46,O7:O79)</f>
        <v>0</v>
      </c>
      <c r="AB57" s="50" t="str">
        <f>IF(W57&gt;='Request #39'!AA57,"OK","Alert,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197">
        <f t="shared" si="5"/>
        <v>52</v>
      </c>
      <c r="H58" s="198" t="str">
        <f t="shared" si="5"/>
        <v>Worked Performed by Owner</v>
      </c>
      <c r="I58" s="247">
        <f t="shared" si="5"/>
        <v>0</v>
      </c>
      <c r="K58" s="159"/>
      <c r="L58" s="157"/>
      <c r="M58" s="157"/>
      <c r="N58" s="154"/>
      <c r="O58" s="155"/>
      <c r="P58" s="158"/>
      <c r="R58" s="50" t="str">
        <f>IF(V58='Request #39'!V58,"OK","Send in Change Order")</f>
        <v>OK</v>
      </c>
      <c r="S58" s="85">
        <v>47</v>
      </c>
      <c r="T58" s="86" t="s">
        <v>82</v>
      </c>
      <c r="U58" s="218">
        <f>'Request #39'!U58</f>
        <v>0</v>
      </c>
      <c r="V58" s="87">
        <f>'Request #39'!V58</f>
        <v>0</v>
      </c>
      <c r="W58" s="88">
        <f>SUMIF(F7:F79,47,E7:E79)</f>
        <v>0</v>
      </c>
      <c r="X58" s="88">
        <f>'Request #39'!Y58</f>
        <v>0</v>
      </c>
      <c r="Y58" s="88">
        <f t="shared" si="1"/>
        <v>0</v>
      </c>
      <c r="Z58" s="88">
        <f t="shared" si="2"/>
        <v>0</v>
      </c>
      <c r="AA58" s="88">
        <f>SUMIF(P7:P79,47,O7:O79)</f>
        <v>0</v>
      </c>
      <c r="AB58" s="50" t="str">
        <f>IF(W58&gt;='Request #39'!AA58,"OK","Alert,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197">
        <f t="shared" si="5"/>
        <v>53</v>
      </c>
      <c r="H59" s="198" t="str">
        <f t="shared" si="5"/>
        <v>Equipment (Major)</v>
      </c>
      <c r="I59" s="247">
        <f t="shared" si="5"/>
        <v>0</v>
      </c>
      <c r="K59" s="159"/>
      <c r="L59" s="157"/>
      <c r="M59" s="157"/>
      <c r="N59" s="154"/>
      <c r="O59" s="155"/>
      <c r="P59" s="158"/>
      <c r="R59" s="50" t="str">
        <f>IF(V59='Request #39'!V59,"OK","Send in Change Order")</f>
        <v>OK</v>
      </c>
      <c r="S59" s="85">
        <v>48</v>
      </c>
      <c r="T59" s="86" t="s">
        <v>82</v>
      </c>
      <c r="U59" s="218">
        <f>'Request #39'!U59</f>
        <v>0</v>
      </c>
      <c r="V59" s="87">
        <f>'Request #39'!V59</f>
        <v>0</v>
      </c>
      <c r="W59" s="88">
        <f>SUMIF(F7:F79,48,E7:E79)</f>
        <v>0</v>
      </c>
      <c r="X59" s="88">
        <f>'Request #39'!Y59</f>
        <v>0</v>
      </c>
      <c r="Y59" s="88">
        <f t="shared" si="1"/>
        <v>0</v>
      </c>
      <c r="Z59" s="88">
        <f t="shared" si="2"/>
        <v>0</v>
      </c>
      <c r="AA59" s="88">
        <f>SUMIF(P7:P79,48,O7:O79)</f>
        <v>0</v>
      </c>
      <c r="AB59" s="50" t="str">
        <f>IF(W59&gt;='Request #39'!AA59,"OK","Alert,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197">
        <f t="shared" si="5"/>
        <v>54</v>
      </c>
      <c r="H60" s="198" t="str">
        <f t="shared" si="5"/>
        <v>Contingency Fund</v>
      </c>
      <c r="I60" s="247">
        <f t="shared" si="5"/>
        <v>0</v>
      </c>
      <c r="K60" s="159"/>
      <c r="L60" s="157"/>
      <c r="M60" s="157"/>
      <c r="N60" s="154"/>
      <c r="O60" s="155"/>
      <c r="P60" s="158"/>
      <c r="R60" s="50" t="str">
        <f>IF(V60='Request #39'!V60,"OK","Send in Change Order")</f>
        <v>OK</v>
      </c>
      <c r="S60" s="85">
        <v>49</v>
      </c>
      <c r="T60" s="86" t="s">
        <v>82</v>
      </c>
      <c r="U60" s="218">
        <f>'Request #39'!U60</f>
        <v>0</v>
      </c>
      <c r="V60" s="87">
        <f>'Request #39'!V60</f>
        <v>0</v>
      </c>
      <c r="W60" s="88">
        <f>SUMIF(F7:F79,49,E7:E79)</f>
        <v>0</v>
      </c>
      <c r="X60" s="88">
        <f>'Request #39'!Y60</f>
        <v>0</v>
      </c>
      <c r="Y60" s="88">
        <f t="shared" si="1"/>
        <v>0</v>
      </c>
      <c r="Z60" s="88">
        <f t="shared" si="2"/>
        <v>0</v>
      </c>
      <c r="AA60" s="88">
        <f>SUMIF(P7:P79,49,O7:O79)</f>
        <v>0</v>
      </c>
      <c r="AB60" s="50" t="str">
        <f>IF(W60&gt;='Request #39'!AA60,"OK","Alert,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197">
        <f t="shared" si="5"/>
        <v>55</v>
      </c>
      <c r="H61" s="198">
        <f t="shared" si="5"/>
        <v>0</v>
      </c>
      <c r="I61" s="247">
        <f t="shared" si="5"/>
        <v>0</v>
      </c>
      <c r="K61" s="159"/>
      <c r="L61" s="157"/>
      <c r="M61" s="157"/>
      <c r="N61" s="154"/>
      <c r="O61" s="155"/>
      <c r="P61" s="158"/>
      <c r="R61" s="50" t="str">
        <f>IF(V61='Request #39'!V61,"OK","Send in Change Order")</f>
        <v>OK</v>
      </c>
      <c r="S61" s="85">
        <v>50</v>
      </c>
      <c r="T61" s="86" t="s">
        <v>82</v>
      </c>
      <c r="U61" s="218">
        <f>'Request #39'!U61</f>
        <v>0</v>
      </c>
      <c r="V61" s="87">
        <f>'Request #39'!V61</f>
        <v>0</v>
      </c>
      <c r="W61" s="88">
        <f>SUMIF(F7:F79,50,E7:E79)</f>
        <v>0</v>
      </c>
      <c r="X61" s="88">
        <f>'Request #39'!Y61</f>
        <v>0</v>
      </c>
      <c r="Y61" s="88">
        <f t="shared" si="1"/>
        <v>0</v>
      </c>
      <c r="Z61" s="88">
        <f t="shared" si="2"/>
        <v>0</v>
      </c>
      <c r="AA61" s="88">
        <f>SUMIF(P7:P79,50,O7:O79)</f>
        <v>0</v>
      </c>
      <c r="AB61" s="50" t="str">
        <f>IF(W61&gt;='Request #39'!AA61,"OK","Alert,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197">
        <f t="shared" si="5"/>
        <v>56</v>
      </c>
      <c r="H62" s="198">
        <f t="shared" si="5"/>
        <v>0</v>
      </c>
      <c r="I62" s="247">
        <f t="shared" si="5"/>
        <v>0</v>
      </c>
      <c r="K62" s="159"/>
      <c r="L62" s="157"/>
      <c r="M62" s="157"/>
      <c r="N62" s="154"/>
      <c r="O62" s="155"/>
      <c r="P62" s="158"/>
      <c r="R62" s="50" t="str">
        <f>IF(V62='Request #39'!V62,"OK","Send in Change Order")</f>
        <v>OK</v>
      </c>
      <c r="S62" s="85">
        <v>51</v>
      </c>
      <c r="T62" s="86" t="s">
        <v>82</v>
      </c>
      <c r="U62" s="218">
        <f>'Request #39'!U62</f>
        <v>0</v>
      </c>
      <c r="V62" s="87">
        <f>'Request #39'!V62</f>
        <v>0</v>
      </c>
      <c r="W62" s="88">
        <f>SUMIF(F7:F79,51,E7:E79)</f>
        <v>0</v>
      </c>
      <c r="X62" s="88">
        <f>'Request #39'!Y62</f>
        <v>0</v>
      </c>
      <c r="Y62" s="88">
        <f t="shared" si="1"/>
        <v>0</v>
      </c>
      <c r="Z62" s="88">
        <f t="shared" si="2"/>
        <v>0</v>
      </c>
      <c r="AA62" s="88">
        <f>SUMIF(P7:P79,51,O7:O79)</f>
        <v>0</v>
      </c>
      <c r="AB62" s="50" t="str">
        <f>IF(W62&gt;='Request #39'!AA62,"OK","Alert,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#39'!V63,"OK","Send in Change Order")</f>
        <v>OK</v>
      </c>
      <c r="S63" s="85">
        <v>52</v>
      </c>
      <c r="T63" s="86" t="s">
        <v>88</v>
      </c>
      <c r="U63" s="218">
        <f>'Request #39'!U63</f>
        <v>0</v>
      </c>
      <c r="V63" s="87">
        <f>'Request #39'!V63</f>
        <v>0</v>
      </c>
      <c r="W63" s="88">
        <f>SUMIF(F7:F79,52,E7:E79)</f>
        <v>0</v>
      </c>
      <c r="X63" s="88">
        <f>'Request #39'!Y63</f>
        <v>0</v>
      </c>
      <c r="Y63" s="88">
        <f t="shared" si="1"/>
        <v>0</v>
      </c>
      <c r="Z63" s="88">
        <f t="shared" si="2"/>
        <v>0</v>
      </c>
      <c r="AA63" s="88">
        <f>SUMIF(P7:P79,52,O7:O79)</f>
        <v>0</v>
      </c>
      <c r="AB63" s="50" t="str">
        <f>IF(W63&gt;='Request #39'!AA63,"OK","Alert,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#39'!V64,"OK","Send in Change Order")</f>
        <v>OK</v>
      </c>
      <c r="S64" s="85">
        <v>53</v>
      </c>
      <c r="T64" s="86" t="s">
        <v>89</v>
      </c>
      <c r="U64" s="218">
        <f>'Request #39'!U64</f>
        <v>0</v>
      </c>
      <c r="V64" s="87">
        <f>'Request #39'!V64</f>
        <v>0</v>
      </c>
      <c r="W64" s="88">
        <f>SUMIF(F7:F79,53,E7:E79)</f>
        <v>0</v>
      </c>
      <c r="X64" s="88">
        <f>'Request #39'!Y64</f>
        <v>0</v>
      </c>
      <c r="Y64" s="88">
        <f t="shared" si="1"/>
        <v>0</v>
      </c>
      <c r="Z64" s="88">
        <f t="shared" si="2"/>
        <v>0</v>
      </c>
      <c r="AA64" s="88">
        <f>SUMIF(P7:P79,53,O7:O79)</f>
        <v>0</v>
      </c>
      <c r="AB64" s="50" t="str">
        <f>IF(W64&gt;='Request #39'!AA64,"OK","Alert,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#39'!V65,"OK","Send in Change Order")</f>
        <v>OK</v>
      </c>
      <c r="S65" s="85">
        <v>54</v>
      </c>
      <c r="T65" s="102" t="s">
        <v>90</v>
      </c>
      <c r="U65" s="218">
        <f>'Request #39'!U65</f>
        <v>0</v>
      </c>
      <c r="V65" s="87">
        <f>'Request #39'!V65</f>
        <v>0</v>
      </c>
      <c r="W65" s="104"/>
      <c r="X65" s="88">
        <f>'Request #39'!Y65</f>
        <v>0</v>
      </c>
      <c r="Y65" s="88">
        <f t="shared" si="1"/>
        <v>0</v>
      </c>
      <c r="Z65" s="88">
        <f t="shared" si="2"/>
        <v>0</v>
      </c>
      <c r="AA65" s="104"/>
      <c r="AB65" s="50" t="str">
        <f>IF(W65&gt;='Request #39'!AA65,"OK","Alert,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#39'!V66,"OK","Send in Change Order")</f>
        <v>OK</v>
      </c>
      <c r="S66" s="85">
        <v>55</v>
      </c>
      <c r="T66" s="86"/>
      <c r="U66" s="218">
        <f>'Request #39'!U66</f>
        <v>0</v>
      </c>
      <c r="V66" s="87">
        <f>'Request #39'!V66</f>
        <v>0</v>
      </c>
      <c r="W66" s="88">
        <f>SUMIF(F7:F79,55,E7:E79)</f>
        <v>0</v>
      </c>
      <c r="X66" s="88">
        <f>'Request #39'!Y66</f>
        <v>0</v>
      </c>
      <c r="Y66" s="88">
        <f t="shared" si="1"/>
        <v>0</v>
      </c>
      <c r="Z66" s="88">
        <f t="shared" si="2"/>
        <v>0</v>
      </c>
      <c r="AA66" s="88">
        <f>SUMIF(P7:P79,55,O7:O79)</f>
        <v>0</v>
      </c>
      <c r="AB66" s="50" t="str">
        <f>IF(W66&gt;='Request #39'!AA66,"OK","Alert,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#39'!V67,"OK","Send in Change Order")</f>
        <v>OK</v>
      </c>
      <c r="S67" s="85">
        <v>56</v>
      </c>
      <c r="T67" s="79"/>
      <c r="U67" s="218">
        <f>'Request #39'!U67</f>
        <v>0</v>
      </c>
      <c r="V67" s="87">
        <f>'Request #39'!V67</f>
        <v>0</v>
      </c>
      <c r="W67" s="88">
        <f>SUMIF(F7:F79,56,E7:E79)</f>
        <v>0</v>
      </c>
      <c r="X67" s="88">
        <f>'Request #39'!Y67</f>
        <v>0</v>
      </c>
      <c r="Y67" s="88">
        <f t="shared" si="1"/>
        <v>0</v>
      </c>
      <c r="Z67" s="88">
        <f t="shared" si="2"/>
        <v>0</v>
      </c>
      <c r="AA67" s="88">
        <f>SUMIF(P7:P79,56,O7:O79)</f>
        <v>0</v>
      </c>
      <c r="AB67" s="50" t="str">
        <f>IF(W67&gt;='Request #39'!AA67,"OK","Alert,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#39'!V68,"OK","Send in Change Order")</f>
        <v>OK</v>
      </c>
      <c r="S68" s="316" t="s">
        <v>60</v>
      </c>
      <c r="T68" s="317"/>
      <c r="U68" s="166" t="s">
        <v>91</v>
      </c>
      <c r="V68" s="263">
        <f t="shared" ref="V68:AA68" si="6">SUM(V12:V67)</f>
        <v>0</v>
      </c>
      <c r="W68" s="105">
        <f t="shared" si="6"/>
        <v>0</v>
      </c>
      <c r="X68" s="105">
        <f t="shared" si="6"/>
        <v>0</v>
      </c>
      <c r="Y68" s="105">
        <f t="shared" si="6"/>
        <v>0</v>
      </c>
      <c r="Z68" s="105">
        <f t="shared" si="6"/>
        <v>0</v>
      </c>
      <c r="AA68" s="105">
        <f t="shared" si="6"/>
        <v>0</v>
      </c>
      <c r="AB68" s="50" t="str">
        <f>IF(W68&gt;='Request #39'!AA68,"OK","Alert,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108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167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190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119" t="e">
        <f>V72/V68</f>
        <v>#DIV/0!</v>
      </c>
      <c r="V72" s="88">
        <f>V68-V74-V73</f>
        <v>0</v>
      </c>
      <c r="W72" s="87">
        <v>0</v>
      </c>
      <c r="X72" s="88">
        <f>'Request #39'!Y72</f>
        <v>0</v>
      </c>
      <c r="Y72" s="88">
        <f t="shared" ref="Y72:Y73" si="7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S73" s="86" t="s">
        <v>95</v>
      </c>
      <c r="T73" s="114"/>
      <c r="U73" s="119" t="e">
        <f>V73/V68</f>
        <v>#DIV/0!</v>
      </c>
      <c r="V73" s="87">
        <f>'Request #39'!V73</f>
        <v>0</v>
      </c>
      <c r="W73" s="87">
        <v>0</v>
      </c>
      <c r="X73" s="88">
        <f>'Request #39'!Y73</f>
        <v>0</v>
      </c>
      <c r="Y73" s="88">
        <f t="shared" si="7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S74" s="120" t="s">
        <v>96</v>
      </c>
      <c r="T74" s="121"/>
      <c r="U74" s="119" t="e">
        <f>V74/V68</f>
        <v>#DIV/0!</v>
      </c>
      <c r="V74" s="87">
        <f>'Request #39'!V74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55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1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114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114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136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55"/>
      <c r="V80" s="55"/>
      <c r="W80" s="55"/>
      <c r="X80" s="138"/>
      <c r="Y80" s="45" t="s">
        <v>108</v>
      </c>
      <c r="Z80" s="43"/>
      <c r="AA80" s="88">
        <f>'Request #39'!AA79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40</v>
      </c>
      <c r="V87" s="55"/>
      <c r="W87" s="55"/>
      <c r="X87" s="138"/>
      <c r="Y87" s="45" t="s">
        <v>108</v>
      </c>
      <c r="Z87" s="43"/>
      <c r="AA87" s="88">
        <f>'Request #39'!AA86</f>
        <v>0</v>
      </c>
      <c r="AB87" s="110"/>
    </row>
    <row r="88" spans="1:28" ht="30" customHeight="1" thickBot="1" x14ac:dyDescent="0.35">
      <c r="S88" s="55"/>
      <c r="T88" s="55"/>
      <c r="U88" s="55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55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55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55"/>
      <c r="V91" s="55"/>
      <c r="W91" s="55"/>
      <c r="X91" s="55"/>
    </row>
    <row r="92" spans="1:28" ht="30" customHeight="1" x14ac:dyDescent="0.3">
      <c r="S92" s="55"/>
      <c r="T92" s="55"/>
      <c r="U92" s="55"/>
      <c r="V92" s="55"/>
      <c r="W92" s="55"/>
      <c r="X92" s="55"/>
    </row>
    <row r="93" spans="1:28" ht="30" customHeight="1" x14ac:dyDescent="0.3">
      <c r="S93" s="55"/>
      <c r="T93" s="55"/>
      <c r="U93" s="55"/>
      <c r="V93" s="55"/>
      <c r="W93" s="55"/>
      <c r="X93" s="55"/>
    </row>
    <row r="94" spans="1:28" ht="30" customHeight="1" x14ac:dyDescent="0.3">
      <c r="S94" s="55"/>
      <c r="T94" s="55"/>
      <c r="U94" s="55"/>
      <c r="V94" s="55"/>
      <c r="W94" s="55"/>
      <c r="X94" s="55"/>
    </row>
    <row r="95" spans="1:28" ht="30" customHeight="1" x14ac:dyDescent="0.3">
      <c r="S95" s="55"/>
      <c r="T95" s="55"/>
      <c r="U95" s="55"/>
      <c r="V95" s="55"/>
      <c r="W95" s="55"/>
      <c r="X95" s="55"/>
    </row>
    <row r="96" spans="1:28" ht="30" customHeight="1" x14ac:dyDescent="0.3">
      <c r="S96" s="55"/>
      <c r="T96" s="55"/>
      <c r="U96" s="55"/>
      <c r="V96" s="55"/>
      <c r="W96" s="55"/>
      <c r="X96" s="55"/>
    </row>
    <row r="97" spans="15:24" ht="30" customHeight="1" x14ac:dyDescent="0.3">
      <c r="S97" s="55"/>
      <c r="T97" s="55"/>
      <c r="U97" s="55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u+ouEBFq5RKEuIsyuk9+VpLyyzbFeYtVTcMbiHFr4Yh74wiiaE9jhffBItPAUOSpDgOsU4+kymEfkNSDzNMXgw==" saltValue="XhDmB6ebvVH8Tg+wUaInxg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6:Z86"/>
    <mergeCell ref="S68:T68"/>
    <mergeCell ref="S70:T70"/>
    <mergeCell ref="Y76:AA76"/>
    <mergeCell ref="W77:W79"/>
    <mergeCell ref="Y79:Z79"/>
    <mergeCell ref="Y83:AA83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79" priority="10" operator="containsText" text="Change">
      <formula>NOT(ISERROR(SEARCH("Change",R1)))</formula>
    </cfRule>
  </conditionalFormatting>
  <conditionalFormatting sqref="R45:R48">
    <cfRule type="cellIs" dxfId="78" priority="7" operator="equal">
      <formula>"Send in Change Order"</formula>
    </cfRule>
  </conditionalFormatting>
  <conditionalFormatting sqref="W68">
    <cfRule type="cellIs" dxfId="77" priority="2" operator="notEqual">
      <formula>$E$82</formula>
    </cfRule>
    <cfRule type="cellIs" dxfId="76" priority="3" operator="greaterThan">
      <formula>$E$82</formula>
    </cfRule>
    <cfRule type="cellIs" dxfId="75" priority="4" operator="notEqual">
      <formula>$E$82</formula>
    </cfRule>
  </conditionalFormatting>
  <conditionalFormatting sqref="Z12:Z44">
    <cfRule type="cellIs" dxfId="74" priority="8" operator="lessThan">
      <formula>0</formula>
    </cfRule>
  </conditionalFormatting>
  <conditionalFormatting sqref="Z49:Z68">
    <cfRule type="cellIs" dxfId="73" priority="5" operator="lessThan">
      <formula>0</formula>
    </cfRule>
  </conditionalFormatting>
  <conditionalFormatting sqref="AA68">
    <cfRule type="cellIs" dxfId="72" priority="1" operator="notEqual">
      <formula>$O$82</formula>
    </cfRule>
  </conditionalFormatting>
  <conditionalFormatting sqref="AB1:AB1048576">
    <cfRule type="containsText" dxfId="71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6" manualBreakCount="6">
    <brk id="6" max="1048575" man="1"/>
    <brk id="10" max="1048575" man="1"/>
    <brk id="16" max="1048575" man="1"/>
    <brk id="18" max="88" man="1"/>
    <brk id="27" max="1048575" man="1"/>
    <brk id="29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4414062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21875" style="50" customWidth="1"/>
    <col min="19" max="19" width="6.109375" style="39" customWidth="1"/>
    <col min="20" max="20" width="31" style="39" customWidth="1"/>
    <col min="21" max="21" width="17.77734375" style="39" customWidth="1"/>
    <col min="22" max="27" width="18.88671875" style="39" customWidth="1"/>
    <col min="28" max="28" width="24.3320312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53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41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53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53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195" t="s">
        <v>35</v>
      </c>
      <c r="H6" s="196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55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197">
        <f>S12</f>
        <v>1</v>
      </c>
      <c r="H7" s="198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197">
        <f t="shared" ref="G8:I23" si="0">S13</f>
        <v>2</v>
      </c>
      <c r="H8" s="198" t="str">
        <f t="shared" si="0"/>
        <v>General Contract</v>
      </c>
      <c r="I8" s="247">
        <f t="shared" si="0"/>
        <v>0</v>
      </c>
      <c r="K8" s="152"/>
      <c r="L8" s="157"/>
      <c r="M8" s="157"/>
      <c r="N8" s="154"/>
      <c r="O8" s="155"/>
      <c r="P8" s="158"/>
      <c r="S8" s="66"/>
      <c r="T8" s="67"/>
      <c r="U8" s="68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197">
        <f t="shared" si="0"/>
        <v>3</v>
      </c>
      <c r="H9" s="198" t="str">
        <f t="shared" si="0"/>
        <v>Architect Contract</v>
      </c>
      <c r="I9" s="247">
        <f t="shared" si="0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74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41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197">
        <f t="shared" si="0"/>
        <v>4</v>
      </c>
      <c r="H10" s="198" t="str">
        <f t="shared" si="0"/>
        <v>Architect Reimbursables</v>
      </c>
      <c r="I10" s="247">
        <f t="shared" si="0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197">
        <f t="shared" si="0"/>
        <v>5</v>
      </c>
      <c r="H11" s="198" t="str">
        <f t="shared" si="0"/>
        <v>Other Contracts</v>
      </c>
      <c r="I11" s="247">
        <f t="shared" si="0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80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197">
        <f t="shared" si="0"/>
        <v>6</v>
      </c>
      <c r="H12" s="198" t="str">
        <f t="shared" si="0"/>
        <v>Other Contracts</v>
      </c>
      <c r="I12" s="247">
        <f t="shared" si="0"/>
        <v>0</v>
      </c>
      <c r="K12" s="152"/>
      <c r="L12" s="157"/>
      <c r="M12" s="157"/>
      <c r="N12" s="154"/>
      <c r="O12" s="155"/>
      <c r="P12" s="158"/>
      <c r="R12" s="50" t="str">
        <f>IF(V12='Request #40'!V12,"OK","Send in Change Order")</f>
        <v>OK</v>
      </c>
      <c r="S12" s="85">
        <v>1</v>
      </c>
      <c r="T12" s="86" t="str">
        <f>'Request #35'!T12</f>
        <v>Land/Site Grading &amp; Improv.</v>
      </c>
      <c r="U12" s="218">
        <f>'Request #40'!U12</f>
        <v>0</v>
      </c>
      <c r="V12" s="87">
        <f>'Request #40'!V12</f>
        <v>0</v>
      </c>
      <c r="W12" s="88">
        <f>SUMIF(F7:F79,1,E7:E79)</f>
        <v>0</v>
      </c>
      <c r="X12" s="88">
        <f>'Request #40'!Y12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#40'!AA12,"OK","Alert,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197">
        <f t="shared" si="0"/>
        <v>7</v>
      </c>
      <c r="H13" s="198" t="str">
        <f t="shared" si="0"/>
        <v>Other Contracts</v>
      </c>
      <c r="I13" s="247">
        <f t="shared" si="0"/>
        <v>0</v>
      </c>
      <c r="K13" s="152"/>
      <c r="L13" s="157"/>
      <c r="M13" s="157"/>
      <c r="N13" s="154"/>
      <c r="O13" s="155"/>
      <c r="P13" s="158"/>
      <c r="R13" s="50" t="str">
        <f>IF(V13='Request #40'!V13,"OK","Send in Change Order")</f>
        <v>OK</v>
      </c>
      <c r="S13" s="85">
        <v>2</v>
      </c>
      <c r="T13" s="86" t="s">
        <v>122</v>
      </c>
      <c r="U13" s="218">
        <f>'Request #40'!U13</f>
        <v>0</v>
      </c>
      <c r="V13" s="87">
        <f>'Request #40'!V13</f>
        <v>0</v>
      </c>
      <c r="W13" s="88">
        <f>SUMIF(F7:F79,2,E7:E79)</f>
        <v>0</v>
      </c>
      <c r="X13" s="88">
        <f>'Request #40'!Y13</f>
        <v>0</v>
      </c>
      <c r="Y13" s="88">
        <f t="shared" ref="Y13:Y67" si="1">W13+X13</f>
        <v>0</v>
      </c>
      <c r="Z13" s="88">
        <f t="shared" ref="Z13:Z67" si="2">V13-Y13</f>
        <v>0</v>
      </c>
      <c r="AA13" s="88">
        <f>SUMIF(P7:P79,2,O7:O79)</f>
        <v>0</v>
      </c>
      <c r="AB13" s="50" t="str">
        <f>IF(W13&gt;='Request #40'!AA13,"OK","Alert,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197">
        <f t="shared" si="0"/>
        <v>8</v>
      </c>
      <c r="H14" s="198" t="str">
        <f t="shared" si="0"/>
        <v>Other Contracts</v>
      </c>
      <c r="I14" s="247">
        <f t="shared" si="0"/>
        <v>0</v>
      </c>
      <c r="K14" s="159"/>
      <c r="L14" s="157"/>
      <c r="M14" s="157"/>
      <c r="N14" s="154"/>
      <c r="O14" s="155"/>
      <c r="P14" s="158"/>
      <c r="R14" s="50" t="str">
        <f>IF(V14='Request #40'!V14,"OK","Send in Change Order")</f>
        <v>OK</v>
      </c>
      <c r="S14" s="85">
        <v>3</v>
      </c>
      <c r="T14" s="86" t="s">
        <v>123</v>
      </c>
      <c r="U14" s="218">
        <f>'Request #40'!U14</f>
        <v>0</v>
      </c>
      <c r="V14" s="87">
        <f>'Request #40'!V14</f>
        <v>0</v>
      </c>
      <c r="W14" s="88">
        <f>SUMIF(F7:F79,3,E7:E79)</f>
        <v>0</v>
      </c>
      <c r="X14" s="88">
        <f>'Request #40'!Y14</f>
        <v>0</v>
      </c>
      <c r="Y14" s="88">
        <f t="shared" si="1"/>
        <v>0</v>
      </c>
      <c r="Z14" s="88">
        <f t="shared" si="2"/>
        <v>0</v>
      </c>
      <c r="AA14" s="88">
        <f>SUMIF(P7:P79,3,O7:O79)</f>
        <v>0</v>
      </c>
      <c r="AB14" s="50" t="str">
        <f>IF(W14&gt;='Request #40'!AA14,"OK","Alert,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197">
        <f t="shared" si="0"/>
        <v>9</v>
      </c>
      <c r="H15" s="198" t="str">
        <f t="shared" si="0"/>
        <v>Other Contracts</v>
      </c>
      <c r="I15" s="247">
        <f t="shared" si="0"/>
        <v>0</v>
      </c>
      <c r="K15" s="159"/>
      <c r="L15" s="157"/>
      <c r="M15" s="157"/>
      <c r="N15" s="154"/>
      <c r="O15" s="155"/>
      <c r="P15" s="158"/>
      <c r="R15" s="50" t="str">
        <f>IF(V15='Request #40'!V15,"OK","Send in Change Order")</f>
        <v>OK</v>
      </c>
      <c r="S15" s="85">
        <v>4</v>
      </c>
      <c r="T15" s="86" t="s">
        <v>124</v>
      </c>
      <c r="U15" s="218">
        <f>'Request #40'!U15</f>
        <v>0</v>
      </c>
      <c r="V15" s="87">
        <f>'Request #40'!V15</f>
        <v>0</v>
      </c>
      <c r="W15" s="88">
        <f>SUMIF(F7:F79,4,E7:E79)</f>
        <v>0</v>
      </c>
      <c r="X15" s="88">
        <f>'Request #40'!Y15</f>
        <v>0</v>
      </c>
      <c r="Y15" s="88">
        <f t="shared" si="1"/>
        <v>0</v>
      </c>
      <c r="Z15" s="88">
        <f t="shared" si="2"/>
        <v>0</v>
      </c>
      <c r="AA15" s="88">
        <f>SUMIF(P7:P79,4,O7:O79)</f>
        <v>0</v>
      </c>
      <c r="AB15" s="50" t="str">
        <f>IF(W15&gt;='Request #40'!AA15,"OK","Alert,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197">
        <f t="shared" si="0"/>
        <v>10</v>
      </c>
      <c r="H16" s="198" t="str">
        <f t="shared" si="0"/>
        <v>Other Contracts</v>
      </c>
      <c r="I16" s="247">
        <f t="shared" si="0"/>
        <v>0</v>
      </c>
      <c r="K16" s="152"/>
      <c r="L16" s="157"/>
      <c r="M16" s="157"/>
      <c r="N16" s="154"/>
      <c r="O16" s="155"/>
      <c r="P16" s="158"/>
      <c r="R16" s="50" t="str">
        <f>IF(V16='Request #40'!V16,"OK","Send in Change Order")</f>
        <v>OK</v>
      </c>
      <c r="S16" s="85">
        <v>5</v>
      </c>
      <c r="T16" s="86" t="s">
        <v>71</v>
      </c>
      <c r="U16" s="218">
        <f>'Request #40'!U16</f>
        <v>0</v>
      </c>
      <c r="V16" s="87">
        <f>'Request #40'!V16</f>
        <v>0</v>
      </c>
      <c r="W16" s="88">
        <f>SUMIF(F7:F79,5,E7:E79)</f>
        <v>0</v>
      </c>
      <c r="X16" s="88">
        <f>'Request #40'!Y16</f>
        <v>0</v>
      </c>
      <c r="Y16" s="88">
        <f t="shared" si="1"/>
        <v>0</v>
      </c>
      <c r="Z16" s="88">
        <f t="shared" si="2"/>
        <v>0</v>
      </c>
      <c r="AA16" s="88">
        <f>SUMIF(P7:P79,5,O7:O79)</f>
        <v>0</v>
      </c>
      <c r="AB16" s="50" t="str">
        <f>IF(W16&gt;='Request #40'!AA16,"OK","Alert,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197">
        <f t="shared" si="0"/>
        <v>11</v>
      </c>
      <c r="H17" s="198" t="str">
        <f t="shared" si="0"/>
        <v>Other Contracts</v>
      </c>
      <c r="I17" s="247">
        <f t="shared" si="0"/>
        <v>0</v>
      </c>
      <c r="K17" s="152"/>
      <c r="L17" s="157"/>
      <c r="M17" s="157"/>
      <c r="N17" s="154"/>
      <c r="O17" s="155"/>
      <c r="P17" s="158"/>
      <c r="R17" s="50" t="str">
        <f>IF(V17='Request #40'!V17,"OK","Send in Change Order")</f>
        <v>OK</v>
      </c>
      <c r="S17" s="85">
        <v>6</v>
      </c>
      <c r="T17" s="86" t="s">
        <v>71</v>
      </c>
      <c r="U17" s="218">
        <f>'Request #40'!U17</f>
        <v>0</v>
      </c>
      <c r="V17" s="87">
        <f>'Request #40'!V17</f>
        <v>0</v>
      </c>
      <c r="W17" s="88">
        <f>SUMIF(F7:F79,6,E7:E79)</f>
        <v>0</v>
      </c>
      <c r="X17" s="88">
        <f>'Request #40'!Y17</f>
        <v>0</v>
      </c>
      <c r="Y17" s="88">
        <f t="shared" si="1"/>
        <v>0</v>
      </c>
      <c r="Z17" s="88">
        <f t="shared" si="2"/>
        <v>0</v>
      </c>
      <c r="AA17" s="88">
        <f>SUMIF(P7:P79,6,O7:O79)</f>
        <v>0</v>
      </c>
      <c r="AB17" s="50" t="str">
        <f>IF(W17&gt;='Request #40'!AA17,"OK","Alert,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197">
        <f t="shared" si="0"/>
        <v>12</v>
      </c>
      <c r="H18" s="198" t="str">
        <f t="shared" si="0"/>
        <v>Other Contracts</v>
      </c>
      <c r="I18" s="247">
        <f t="shared" si="0"/>
        <v>0</v>
      </c>
      <c r="K18" s="152"/>
      <c r="L18" s="157"/>
      <c r="M18" s="157"/>
      <c r="N18" s="154"/>
      <c r="O18" s="155"/>
      <c r="P18" s="158"/>
      <c r="R18" s="50" t="str">
        <f>IF(V18='Request #40'!V18,"OK","Send in Change Order")</f>
        <v>OK</v>
      </c>
      <c r="S18" s="85">
        <v>7</v>
      </c>
      <c r="T18" s="86" t="s">
        <v>71</v>
      </c>
      <c r="U18" s="218">
        <f>'Request #40'!U18</f>
        <v>0</v>
      </c>
      <c r="V18" s="87">
        <f>'Request #40'!V18</f>
        <v>0</v>
      </c>
      <c r="W18" s="88">
        <f>SUMIF(F7:F79,7,E7:E79)</f>
        <v>0</v>
      </c>
      <c r="X18" s="88">
        <f>'Request #40'!Y18</f>
        <v>0</v>
      </c>
      <c r="Y18" s="88">
        <f t="shared" si="1"/>
        <v>0</v>
      </c>
      <c r="Z18" s="88">
        <f t="shared" si="2"/>
        <v>0</v>
      </c>
      <c r="AA18" s="88">
        <f>SUMIF(P7:P79,7,O7:O79)</f>
        <v>0</v>
      </c>
      <c r="AB18" s="50" t="str">
        <f>IF(W18&gt;='Request #40'!AA18,"OK","Alert,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197">
        <f t="shared" si="0"/>
        <v>13</v>
      </c>
      <c r="H19" s="198" t="str">
        <f t="shared" si="0"/>
        <v>Other Contracts</v>
      </c>
      <c r="I19" s="247">
        <f t="shared" si="0"/>
        <v>0</v>
      </c>
      <c r="K19" s="159"/>
      <c r="L19" s="157"/>
      <c r="M19" s="157"/>
      <c r="N19" s="154"/>
      <c r="O19" s="155"/>
      <c r="P19" s="158"/>
      <c r="R19" s="50" t="str">
        <f>IF(V19='Request #40'!V19,"OK","Send in Change Order")</f>
        <v>OK</v>
      </c>
      <c r="S19" s="85">
        <v>8</v>
      </c>
      <c r="T19" s="86" t="s">
        <v>71</v>
      </c>
      <c r="U19" s="218">
        <f>'Request #40'!U19</f>
        <v>0</v>
      </c>
      <c r="V19" s="87">
        <f>'Request #40'!V19</f>
        <v>0</v>
      </c>
      <c r="W19" s="88">
        <f>SUMIF(F7:F79,8,E7:E79)</f>
        <v>0</v>
      </c>
      <c r="X19" s="88">
        <f>'Request #40'!Y19</f>
        <v>0</v>
      </c>
      <c r="Y19" s="88">
        <f t="shared" si="1"/>
        <v>0</v>
      </c>
      <c r="Z19" s="88">
        <f t="shared" si="2"/>
        <v>0</v>
      </c>
      <c r="AA19" s="88">
        <f>SUMIF(P7:P79,8,O7:O79)</f>
        <v>0</v>
      </c>
      <c r="AB19" s="50" t="str">
        <f>IF(W19&gt;='Request #40'!AA19,"OK","Alert,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197">
        <f t="shared" si="0"/>
        <v>14</v>
      </c>
      <c r="H20" s="198" t="str">
        <f t="shared" si="0"/>
        <v>Other Contracts</v>
      </c>
      <c r="I20" s="247">
        <f t="shared" si="0"/>
        <v>0</v>
      </c>
      <c r="K20" s="152"/>
      <c r="L20" s="157"/>
      <c r="M20" s="157"/>
      <c r="N20" s="154"/>
      <c r="O20" s="155"/>
      <c r="P20" s="158"/>
      <c r="R20" s="50" t="str">
        <f>IF(V20='Request #40'!V20,"OK","Send in Change Order")</f>
        <v>OK</v>
      </c>
      <c r="S20" s="85">
        <v>9</v>
      </c>
      <c r="T20" s="86" t="s">
        <v>71</v>
      </c>
      <c r="U20" s="218">
        <f>'Request #40'!U20</f>
        <v>0</v>
      </c>
      <c r="V20" s="87">
        <f>'Request #40'!V20</f>
        <v>0</v>
      </c>
      <c r="W20" s="88">
        <f>SUMIF(F7:F79,9,E7:E79)</f>
        <v>0</v>
      </c>
      <c r="X20" s="88">
        <f>'Request #40'!Y20</f>
        <v>0</v>
      </c>
      <c r="Y20" s="88">
        <f t="shared" si="1"/>
        <v>0</v>
      </c>
      <c r="Z20" s="88">
        <f t="shared" si="2"/>
        <v>0</v>
      </c>
      <c r="AA20" s="88">
        <f>SUMIF(P7:P79,9,O7:O79)</f>
        <v>0</v>
      </c>
      <c r="AB20" s="50" t="str">
        <f>IF(W20&gt;='Request #40'!AA20,"OK","Alert,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197">
        <f t="shared" si="0"/>
        <v>15</v>
      </c>
      <c r="H21" s="198" t="str">
        <f t="shared" si="0"/>
        <v>Other Contracts</v>
      </c>
      <c r="I21" s="247">
        <f t="shared" si="0"/>
        <v>0</v>
      </c>
      <c r="K21" s="159"/>
      <c r="L21" s="157"/>
      <c r="M21" s="157"/>
      <c r="N21" s="154"/>
      <c r="O21" s="155"/>
      <c r="P21" s="158"/>
      <c r="R21" s="50" t="str">
        <f>IF(V21='Request #40'!V21,"OK","Send in Change Order")</f>
        <v>OK</v>
      </c>
      <c r="S21" s="85">
        <v>10</v>
      </c>
      <c r="T21" s="86" t="s">
        <v>71</v>
      </c>
      <c r="U21" s="218">
        <f>'Request #40'!U21</f>
        <v>0</v>
      </c>
      <c r="V21" s="87">
        <f>'Request #40'!V21</f>
        <v>0</v>
      </c>
      <c r="W21" s="88">
        <f>SUMIF(F7:F79,10,E7:E79)</f>
        <v>0</v>
      </c>
      <c r="X21" s="88">
        <f>'Request #40'!Y21</f>
        <v>0</v>
      </c>
      <c r="Y21" s="88">
        <f t="shared" si="1"/>
        <v>0</v>
      </c>
      <c r="Z21" s="88">
        <f t="shared" si="2"/>
        <v>0</v>
      </c>
      <c r="AA21" s="88">
        <f>SUMIF(P7:P79,10,O7:O79)</f>
        <v>0</v>
      </c>
      <c r="AB21" s="50" t="str">
        <f>IF(W21&gt;='Request #40'!AA21,"OK","Alert,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197">
        <f t="shared" si="0"/>
        <v>16</v>
      </c>
      <c r="H22" s="198" t="str">
        <f t="shared" si="0"/>
        <v>Other Contracts</v>
      </c>
      <c r="I22" s="247">
        <f t="shared" si="0"/>
        <v>0</v>
      </c>
      <c r="K22" s="159"/>
      <c r="L22" s="157"/>
      <c r="M22" s="157"/>
      <c r="N22" s="154"/>
      <c r="O22" s="155"/>
      <c r="P22" s="158"/>
      <c r="R22" s="50" t="str">
        <f>IF(V22='Request #40'!V22,"OK","Send in Change Order")</f>
        <v>OK</v>
      </c>
      <c r="S22" s="85">
        <v>11</v>
      </c>
      <c r="T22" s="86" t="s">
        <v>71</v>
      </c>
      <c r="U22" s="218">
        <f>'Request #40'!U22</f>
        <v>0</v>
      </c>
      <c r="V22" s="87">
        <f>'Request #40'!V22</f>
        <v>0</v>
      </c>
      <c r="W22" s="88">
        <f>SUMIF(F7:F79,11,E7:E79)</f>
        <v>0</v>
      </c>
      <c r="X22" s="88">
        <f>'Request #40'!Y22</f>
        <v>0</v>
      </c>
      <c r="Y22" s="88">
        <f t="shared" si="1"/>
        <v>0</v>
      </c>
      <c r="Z22" s="88">
        <f t="shared" si="2"/>
        <v>0</v>
      </c>
      <c r="AA22" s="88">
        <f>SUMIF(P7:P79,11,O7:O79)</f>
        <v>0</v>
      </c>
      <c r="AB22" s="50" t="str">
        <f>IF(W22&gt;='Request #40'!AA22,"OK","Alert,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197">
        <f t="shared" si="0"/>
        <v>17</v>
      </c>
      <c r="H23" s="198" t="str">
        <f t="shared" si="0"/>
        <v>Other Contracts</v>
      </c>
      <c r="I23" s="247">
        <f t="shared" si="0"/>
        <v>0</v>
      </c>
      <c r="K23" s="159"/>
      <c r="L23" s="157"/>
      <c r="M23" s="157"/>
      <c r="N23" s="154"/>
      <c r="O23" s="155"/>
      <c r="P23" s="158"/>
      <c r="R23" s="50" t="str">
        <f>IF(V23='Request #40'!V23,"OK","Send in Change Order")</f>
        <v>OK</v>
      </c>
      <c r="S23" s="85">
        <v>12</v>
      </c>
      <c r="T23" s="86" t="s">
        <v>71</v>
      </c>
      <c r="U23" s="218">
        <f>'Request #40'!U23</f>
        <v>0</v>
      </c>
      <c r="V23" s="87">
        <f>'Request #40'!V23</f>
        <v>0</v>
      </c>
      <c r="W23" s="88">
        <f>SUMIF(F7:F79,12,E7:E79)</f>
        <v>0</v>
      </c>
      <c r="X23" s="88">
        <f>'Request #40'!Y23</f>
        <v>0</v>
      </c>
      <c r="Y23" s="88">
        <f t="shared" si="1"/>
        <v>0</v>
      </c>
      <c r="Z23" s="88">
        <f t="shared" si="2"/>
        <v>0</v>
      </c>
      <c r="AA23" s="88">
        <f>SUMIF(P7:P79,12,O7:O79)</f>
        <v>0</v>
      </c>
      <c r="AB23" s="50" t="str">
        <f>IF(W23&gt;='Request #40'!AA23,"OK","Alert,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197">
        <f t="shared" ref="G24:I39" si="3">S29</f>
        <v>18</v>
      </c>
      <c r="H24" s="198" t="str">
        <f t="shared" si="3"/>
        <v>Other Contracts</v>
      </c>
      <c r="I24" s="247">
        <f t="shared" si="3"/>
        <v>0</v>
      </c>
      <c r="K24" s="159"/>
      <c r="L24" s="157"/>
      <c r="M24" s="157"/>
      <c r="N24" s="154"/>
      <c r="O24" s="155"/>
      <c r="P24" s="158"/>
      <c r="R24" s="50" t="str">
        <f>IF(V24='Request #40'!V24,"OK","Send in Change Order")</f>
        <v>OK</v>
      </c>
      <c r="S24" s="85">
        <v>13</v>
      </c>
      <c r="T24" s="86" t="s">
        <v>71</v>
      </c>
      <c r="U24" s="218">
        <f>'Request #40'!U24</f>
        <v>0</v>
      </c>
      <c r="V24" s="87">
        <f>'Request #40'!V24</f>
        <v>0</v>
      </c>
      <c r="W24" s="88">
        <f>SUMIF(F7:F79,13,E7:E79)</f>
        <v>0</v>
      </c>
      <c r="X24" s="88">
        <f>'Request #40'!Y24</f>
        <v>0</v>
      </c>
      <c r="Y24" s="88">
        <f t="shared" si="1"/>
        <v>0</v>
      </c>
      <c r="Z24" s="88">
        <f t="shared" si="2"/>
        <v>0</v>
      </c>
      <c r="AA24" s="88">
        <f>SUMIF(P7:P79,13,O7:O79)</f>
        <v>0</v>
      </c>
      <c r="AB24" s="50" t="str">
        <f>IF(W24&gt;='Request #40'!AA24,"OK","Alert,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197">
        <f t="shared" si="3"/>
        <v>19</v>
      </c>
      <c r="H25" s="198" t="str">
        <f t="shared" si="3"/>
        <v>Other Contracts</v>
      </c>
      <c r="I25" s="247">
        <f t="shared" si="3"/>
        <v>0</v>
      </c>
      <c r="K25" s="159"/>
      <c r="L25" s="157"/>
      <c r="M25" s="157"/>
      <c r="N25" s="154"/>
      <c r="O25" s="155"/>
      <c r="P25" s="158"/>
      <c r="R25" s="50" t="str">
        <f>IF(V25='Request #40'!V25,"OK","Send in Change Order")</f>
        <v>OK</v>
      </c>
      <c r="S25" s="85">
        <v>14</v>
      </c>
      <c r="T25" s="86" t="s">
        <v>71</v>
      </c>
      <c r="U25" s="218">
        <f>'Request #40'!U25</f>
        <v>0</v>
      </c>
      <c r="V25" s="87">
        <f>'Request #40'!V25</f>
        <v>0</v>
      </c>
      <c r="W25" s="88">
        <f>SUMIF(F7:F79,14,E7:E79)</f>
        <v>0</v>
      </c>
      <c r="X25" s="88">
        <f>'Request #40'!Y25</f>
        <v>0</v>
      </c>
      <c r="Y25" s="88">
        <f t="shared" si="1"/>
        <v>0</v>
      </c>
      <c r="Z25" s="88">
        <f t="shared" si="2"/>
        <v>0</v>
      </c>
      <c r="AA25" s="88">
        <f>SUMIF(P7:P79,14,O7:O79)</f>
        <v>0</v>
      </c>
      <c r="AB25" s="50" t="str">
        <f>IF(W25&gt;='Request #40'!AA25,"OK","Alert,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197">
        <f t="shared" si="3"/>
        <v>20</v>
      </c>
      <c r="H26" s="198" t="str">
        <f t="shared" si="3"/>
        <v>Other Contracts</v>
      </c>
      <c r="I26" s="247">
        <f t="shared" si="3"/>
        <v>0</v>
      </c>
      <c r="K26" s="159"/>
      <c r="L26" s="157"/>
      <c r="M26" s="157"/>
      <c r="N26" s="154"/>
      <c r="O26" s="155"/>
      <c r="P26" s="158"/>
      <c r="R26" s="50" t="str">
        <f>IF(V26='Request #40'!V26,"OK","Send in Change Order")</f>
        <v>OK</v>
      </c>
      <c r="S26" s="85">
        <v>15</v>
      </c>
      <c r="T26" s="86" t="s">
        <v>71</v>
      </c>
      <c r="U26" s="218">
        <f>'Request #40'!U26</f>
        <v>0</v>
      </c>
      <c r="V26" s="87">
        <f>'Request #40'!V26</f>
        <v>0</v>
      </c>
      <c r="W26" s="88">
        <f>SUMIF(F7:F79,15,E7:E79)</f>
        <v>0</v>
      </c>
      <c r="X26" s="88">
        <f>'Request #40'!Y26</f>
        <v>0</v>
      </c>
      <c r="Y26" s="88">
        <f t="shared" si="1"/>
        <v>0</v>
      </c>
      <c r="Z26" s="88">
        <f t="shared" si="2"/>
        <v>0</v>
      </c>
      <c r="AA26" s="88">
        <f>SUMIF(P7:P79,15,O7:O79)</f>
        <v>0</v>
      </c>
      <c r="AB26" s="50" t="str">
        <f>IF(W26&gt;='Request #40'!AA26,"OK","Alert,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197">
        <f t="shared" si="3"/>
        <v>21</v>
      </c>
      <c r="H27" s="198" t="str">
        <f t="shared" si="3"/>
        <v>Other Contracts</v>
      </c>
      <c r="I27" s="247">
        <f t="shared" si="3"/>
        <v>0</v>
      </c>
      <c r="K27" s="159"/>
      <c r="L27" s="157"/>
      <c r="M27" s="157"/>
      <c r="N27" s="154"/>
      <c r="O27" s="155"/>
      <c r="P27" s="158"/>
      <c r="R27" s="50" t="str">
        <f>IF(V27='Request #40'!V27,"OK","Send in Change Order")</f>
        <v>OK</v>
      </c>
      <c r="S27" s="85">
        <v>16</v>
      </c>
      <c r="T27" s="86" t="s">
        <v>71</v>
      </c>
      <c r="U27" s="218">
        <f>'Request #40'!U27</f>
        <v>0</v>
      </c>
      <c r="V27" s="87">
        <f>'Request #40'!V27</f>
        <v>0</v>
      </c>
      <c r="W27" s="88">
        <f>SUMIF(F7:F79,16,E7:E79)</f>
        <v>0</v>
      </c>
      <c r="X27" s="88">
        <f>'Request #40'!Y27</f>
        <v>0</v>
      </c>
      <c r="Y27" s="88">
        <f t="shared" si="1"/>
        <v>0</v>
      </c>
      <c r="Z27" s="88">
        <f t="shared" si="2"/>
        <v>0</v>
      </c>
      <c r="AA27" s="88">
        <f>SUMIF(P7:P79,16,O7:O79)</f>
        <v>0</v>
      </c>
      <c r="AB27" s="50" t="str">
        <f>IF(W27&gt;='Request #40'!AA27,"OK","Alert,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197">
        <f t="shared" si="3"/>
        <v>22</v>
      </c>
      <c r="H28" s="198" t="str">
        <f t="shared" si="3"/>
        <v>Other Contracts</v>
      </c>
      <c r="I28" s="247">
        <f t="shared" si="3"/>
        <v>0</v>
      </c>
      <c r="K28" s="159"/>
      <c r="L28" s="157"/>
      <c r="M28" s="157"/>
      <c r="N28" s="154"/>
      <c r="O28" s="155"/>
      <c r="P28" s="158"/>
      <c r="R28" s="50" t="str">
        <f>IF(V28='Request #40'!V28,"OK","Send in Change Order")</f>
        <v>OK</v>
      </c>
      <c r="S28" s="85">
        <v>17</v>
      </c>
      <c r="T28" s="86" t="s">
        <v>71</v>
      </c>
      <c r="U28" s="218">
        <f>'Request #40'!U28</f>
        <v>0</v>
      </c>
      <c r="V28" s="87">
        <f>'Request #40'!V28</f>
        <v>0</v>
      </c>
      <c r="W28" s="88">
        <f>SUMIF(F7:F79,17,E7:E79)</f>
        <v>0</v>
      </c>
      <c r="X28" s="88">
        <f>'Request #40'!Y28</f>
        <v>0</v>
      </c>
      <c r="Y28" s="88">
        <f t="shared" si="1"/>
        <v>0</v>
      </c>
      <c r="Z28" s="88">
        <f t="shared" si="2"/>
        <v>0</v>
      </c>
      <c r="AA28" s="88">
        <f>SUMIF(P7:P79,17,O7:O79)</f>
        <v>0</v>
      </c>
      <c r="AB28" s="50" t="str">
        <f>IF(W28&gt;='Request #40'!AA28,"OK","Alert,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197">
        <f t="shared" si="3"/>
        <v>23</v>
      </c>
      <c r="H29" s="198" t="str">
        <f t="shared" si="3"/>
        <v>Other Contracts</v>
      </c>
      <c r="I29" s="247">
        <f t="shared" si="3"/>
        <v>0</v>
      </c>
      <c r="K29" s="159"/>
      <c r="L29" s="157"/>
      <c r="M29" s="157"/>
      <c r="N29" s="154"/>
      <c r="O29" s="155"/>
      <c r="P29" s="158"/>
      <c r="R29" s="50" t="str">
        <f>IF(V29='Request #40'!V29,"OK","Send in Change Order")</f>
        <v>OK</v>
      </c>
      <c r="S29" s="85">
        <v>18</v>
      </c>
      <c r="T29" s="86" t="s">
        <v>71</v>
      </c>
      <c r="U29" s="218">
        <f>'Request #40'!U29</f>
        <v>0</v>
      </c>
      <c r="V29" s="87">
        <f>'Request #40'!V29</f>
        <v>0</v>
      </c>
      <c r="W29" s="88">
        <f>SUMIF(F7:F79,18,E7:E79)</f>
        <v>0</v>
      </c>
      <c r="X29" s="88">
        <f>'Request #40'!Y29</f>
        <v>0</v>
      </c>
      <c r="Y29" s="88">
        <f t="shared" si="1"/>
        <v>0</v>
      </c>
      <c r="Z29" s="88">
        <f t="shared" si="2"/>
        <v>0</v>
      </c>
      <c r="AA29" s="88">
        <f>SUMIF(P7:P79,18,O7:O79)</f>
        <v>0</v>
      </c>
      <c r="AB29" s="50" t="str">
        <f>IF(W29&gt;='Request #40'!AA29,"OK","Alert,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197">
        <f t="shared" si="3"/>
        <v>24</v>
      </c>
      <c r="H30" s="198" t="str">
        <f t="shared" si="3"/>
        <v>Other Contracts</v>
      </c>
      <c r="I30" s="247">
        <f t="shared" si="3"/>
        <v>0</v>
      </c>
      <c r="K30" s="159"/>
      <c r="L30" s="157"/>
      <c r="M30" s="157"/>
      <c r="N30" s="154"/>
      <c r="O30" s="155"/>
      <c r="P30" s="158"/>
      <c r="R30" s="50" t="str">
        <f>IF(V30='Request #40'!V30,"OK","Send in Change Order")</f>
        <v>OK</v>
      </c>
      <c r="S30" s="85">
        <v>19</v>
      </c>
      <c r="T30" s="86" t="s">
        <v>71</v>
      </c>
      <c r="U30" s="218">
        <f>'Request #40'!U30</f>
        <v>0</v>
      </c>
      <c r="V30" s="87">
        <f>'Request #40'!V30</f>
        <v>0</v>
      </c>
      <c r="W30" s="88">
        <f>SUMIF(F7:F79,19,E7:E79)</f>
        <v>0</v>
      </c>
      <c r="X30" s="88">
        <f>'Request #40'!Y30</f>
        <v>0</v>
      </c>
      <c r="Y30" s="88">
        <f t="shared" si="1"/>
        <v>0</v>
      </c>
      <c r="Z30" s="88">
        <f t="shared" si="2"/>
        <v>0</v>
      </c>
      <c r="AA30" s="88">
        <f>SUMIF(P7:P79,19,O7:O79)</f>
        <v>0</v>
      </c>
      <c r="AB30" s="50" t="str">
        <f>IF(W30&gt;='Request #40'!AA30,"OK","Alert,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197">
        <f t="shared" si="3"/>
        <v>25</v>
      </c>
      <c r="H31" s="198" t="str">
        <f t="shared" si="3"/>
        <v>Other Contracts</v>
      </c>
      <c r="I31" s="247">
        <f t="shared" si="3"/>
        <v>0</v>
      </c>
      <c r="K31" s="159"/>
      <c r="L31" s="157"/>
      <c r="M31" s="157"/>
      <c r="N31" s="154"/>
      <c r="O31" s="155"/>
      <c r="P31" s="158"/>
      <c r="R31" s="50" t="str">
        <f>IF(V31='Request #40'!V31,"OK","Send in Change Order")</f>
        <v>OK</v>
      </c>
      <c r="S31" s="85">
        <v>20</v>
      </c>
      <c r="T31" s="86" t="s">
        <v>71</v>
      </c>
      <c r="U31" s="218">
        <f>'Request #40'!U31</f>
        <v>0</v>
      </c>
      <c r="V31" s="87">
        <f>'Request #40'!V31</f>
        <v>0</v>
      </c>
      <c r="W31" s="88">
        <f>SUMIF(F7:F79,20,E7:E79)</f>
        <v>0</v>
      </c>
      <c r="X31" s="88">
        <f>'Request #40'!Y31</f>
        <v>0</v>
      </c>
      <c r="Y31" s="88">
        <f t="shared" si="1"/>
        <v>0</v>
      </c>
      <c r="Z31" s="88">
        <f t="shared" si="2"/>
        <v>0</v>
      </c>
      <c r="AA31" s="88">
        <f>SUMIF(P7:P79,20,O7:O79)</f>
        <v>0</v>
      </c>
      <c r="AB31" s="50" t="str">
        <f>IF(W31&gt;='Request #40'!AA31,"OK","Alert,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197">
        <f t="shared" si="3"/>
        <v>26</v>
      </c>
      <c r="H32" s="198" t="str">
        <f t="shared" si="3"/>
        <v>Other Fees</v>
      </c>
      <c r="I32" s="247">
        <f t="shared" si="3"/>
        <v>0</v>
      </c>
      <c r="K32" s="159"/>
      <c r="L32" s="157"/>
      <c r="M32" s="157"/>
      <c r="N32" s="154"/>
      <c r="O32" s="155"/>
      <c r="P32" s="158"/>
      <c r="R32" s="50" t="str">
        <f>IF(V32='Request #40'!V32,"OK","Send in Change Order")</f>
        <v>OK</v>
      </c>
      <c r="S32" s="85">
        <v>21</v>
      </c>
      <c r="T32" s="86" t="s">
        <v>71</v>
      </c>
      <c r="U32" s="218">
        <f>'Request #40'!U32</f>
        <v>0</v>
      </c>
      <c r="V32" s="87">
        <f>'Request #40'!V32</f>
        <v>0</v>
      </c>
      <c r="W32" s="88">
        <f>SUMIF(F7:F79,21,E7:E79)</f>
        <v>0</v>
      </c>
      <c r="X32" s="88">
        <f>'Request #40'!Y32</f>
        <v>0</v>
      </c>
      <c r="Y32" s="88">
        <f t="shared" si="1"/>
        <v>0</v>
      </c>
      <c r="Z32" s="88">
        <f t="shared" si="2"/>
        <v>0</v>
      </c>
      <c r="AA32" s="88">
        <f>SUMIF(P7:P79,21,O7:O79)</f>
        <v>0</v>
      </c>
      <c r="AB32" s="50" t="str">
        <f>IF(W32&gt;='Request #40'!AA32,"OK","Alert,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197">
        <f t="shared" si="3"/>
        <v>27</v>
      </c>
      <c r="H33" s="198" t="str">
        <f t="shared" si="3"/>
        <v>Other Fees</v>
      </c>
      <c r="I33" s="247">
        <f t="shared" si="3"/>
        <v>0</v>
      </c>
      <c r="K33" s="159"/>
      <c r="L33" s="157"/>
      <c r="M33" s="157"/>
      <c r="N33" s="154"/>
      <c r="O33" s="155"/>
      <c r="P33" s="158"/>
      <c r="R33" s="50" t="str">
        <f>IF(V33='Request #40'!V33,"OK","Send in Change Order")</f>
        <v>OK</v>
      </c>
      <c r="S33" s="85">
        <v>22</v>
      </c>
      <c r="T33" s="86" t="s">
        <v>71</v>
      </c>
      <c r="U33" s="218">
        <f>'Request #40'!U33</f>
        <v>0</v>
      </c>
      <c r="V33" s="87">
        <f>'Request #40'!V33</f>
        <v>0</v>
      </c>
      <c r="W33" s="88">
        <f>SUMIF(F7:F79,22,E7:E79)</f>
        <v>0</v>
      </c>
      <c r="X33" s="88">
        <f>'Request #40'!Y33</f>
        <v>0</v>
      </c>
      <c r="Y33" s="88">
        <f t="shared" si="1"/>
        <v>0</v>
      </c>
      <c r="Z33" s="88">
        <f t="shared" si="2"/>
        <v>0</v>
      </c>
      <c r="AA33" s="88">
        <f>SUMIF(P7:P79,22,O7:O79)</f>
        <v>0</v>
      </c>
      <c r="AB33" s="50" t="str">
        <f>IF(W33&gt;='Request #40'!AA33,"OK","Alert,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197">
        <f t="shared" si="3"/>
        <v>28</v>
      </c>
      <c r="H34" s="198" t="str">
        <f t="shared" si="3"/>
        <v>Other Fees</v>
      </c>
      <c r="I34" s="247">
        <f t="shared" si="3"/>
        <v>0</v>
      </c>
      <c r="K34" s="159"/>
      <c r="L34" s="157"/>
      <c r="M34" s="157"/>
      <c r="N34" s="154"/>
      <c r="O34" s="155"/>
      <c r="P34" s="158"/>
      <c r="R34" s="50" t="str">
        <f>IF(V34='Request #40'!V34,"OK","Send in Change Order")</f>
        <v>OK</v>
      </c>
      <c r="S34" s="85">
        <v>23</v>
      </c>
      <c r="T34" s="86" t="s">
        <v>71</v>
      </c>
      <c r="U34" s="218">
        <f>'Request #40'!U34</f>
        <v>0</v>
      </c>
      <c r="V34" s="87">
        <f>'Request #40'!V34</f>
        <v>0</v>
      </c>
      <c r="W34" s="88">
        <f>SUMIF(F7:F79,23,E7:E79)</f>
        <v>0</v>
      </c>
      <c r="X34" s="88">
        <f>'Request #40'!Y34</f>
        <v>0</v>
      </c>
      <c r="Y34" s="88">
        <f t="shared" si="1"/>
        <v>0</v>
      </c>
      <c r="Z34" s="88">
        <f t="shared" si="2"/>
        <v>0</v>
      </c>
      <c r="AA34" s="88">
        <f>SUMIF(P7:P79,23,O7:O79)</f>
        <v>0</v>
      </c>
      <c r="AB34" s="50" t="str">
        <f>IF(W34&gt;='Request #40'!AA34,"OK","Alert,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197">
        <f t="shared" si="3"/>
        <v>29</v>
      </c>
      <c r="H35" s="198" t="str">
        <f t="shared" si="3"/>
        <v>Other Fees</v>
      </c>
      <c r="I35" s="247">
        <f t="shared" si="3"/>
        <v>0</v>
      </c>
      <c r="K35" s="159"/>
      <c r="L35" s="157"/>
      <c r="M35" s="157"/>
      <c r="N35" s="154"/>
      <c r="O35" s="155"/>
      <c r="P35" s="158"/>
      <c r="R35" s="50" t="str">
        <f>IF(V36='Request #40'!V36,"OK","Send in Change Order")</f>
        <v>OK</v>
      </c>
      <c r="S35" s="85">
        <v>24</v>
      </c>
      <c r="T35" s="86" t="s">
        <v>71</v>
      </c>
      <c r="U35" s="218">
        <f>'Request #40'!U35</f>
        <v>0</v>
      </c>
      <c r="V35" s="87">
        <f>'Request #40'!V35</f>
        <v>0</v>
      </c>
      <c r="W35" s="88">
        <f>SUMIF(F7:F79,24,E7:E79)</f>
        <v>0</v>
      </c>
      <c r="X35" s="88">
        <f>'Request #40'!Y35</f>
        <v>0</v>
      </c>
      <c r="Y35" s="88">
        <f t="shared" si="1"/>
        <v>0</v>
      </c>
      <c r="Z35" s="88">
        <f t="shared" si="2"/>
        <v>0</v>
      </c>
      <c r="AA35" s="88">
        <f>SUMIF(P7:P79,24,O7:O79)</f>
        <v>0</v>
      </c>
      <c r="AB35" s="50" t="str">
        <f>IF(W36&gt;='Request #40'!AA36,"OK","Alert,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197">
        <f t="shared" si="3"/>
        <v>30</v>
      </c>
      <c r="H36" s="198" t="str">
        <f t="shared" si="3"/>
        <v>Other Fees</v>
      </c>
      <c r="I36" s="247">
        <f t="shared" si="3"/>
        <v>0</v>
      </c>
      <c r="K36" s="159"/>
      <c r="L36" s="157"/>
      <c r="M36" s="157"/>
      <c r="N36" s="154"/>
      <c r="O36" s="155"/>
      <c r="P36" s="158"/>
      <c r="R36" s="50" t="str">
        <f>IF(V36='Request #40'!V36,"OK","Send in Change Order")</f>
        <v>OK</v>
      </c>
      <c r="S36" s="85">
        <v>25</v>
      </c>
      <c r="T36" s="86" t="s">
        <v>71</v>
      </c>
      <c r="U36" s="218">
        <f>'Request #40'!U36</f>
        <v>0</v>
      </c>
      <c r="V36" s="87">
        <f>'Request #40'!V36</f>
        <v>0</v>
      </c>
      <c r="W36" s="88">
        <f>SUMIF(F7:F79,25,E7:E79)</f>
        <v>0</v>
      </c>
      <c r="X36" s="88">
        <f>'Request #40'!Y36</f>
        <v>0</v>
      </c>
      <c r="Y36" s="88">
        <f t="shared" si="1"/>
        <v>0</v>
      </c>
      <c r="Z36" s="88">
        <f t="shared" si="2"/>
        <v>0</v>
      </c>
      <c r="AA36" s="88">
        <f>SUMIF(P7:P79,25,O7:O79)</f>
        <v>0</v>
      </c>
      <c r="AB36" s="50" t="str">
        <f>IF(W36&gt;='Request #40'!AA36,"OK","Alert,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197">
        <f t="shared" si="3"/>
        <v>31</v>
      </c>
      <c r="H37" s="198" t="str">
        <f t="shared" si="3"/>
        <v>Other Fees</v>
      </c>
      <c r="I37" s="247">
        <f t="shared" si="3"/>
        <v>0</v>
      </c>
      <c r="K37" s="159"/>
      <c r="L37" s="157"/>
      <c r="M37" s="157"/>
      <c r="N37" s="154"/>
      <c r="O37" s="155"/>
      <c r="P37" s="158"/>
      <c r="R37" s="50" t="str">
        <f>IF(V37='Request #40'!V37,"OK","Send in Change Order")</f>
        <v>OK</v>
      </c>
      <c r="S37" s="85">
        <v>26</v>
      </c>
      <c r="T37" s="86" t="s">
        <v>82</v>
      </c>
      <c r="U37" s="218">
        <f>'Request #40'!U37</f>
        <v>0</v>
      </c>
      <c r="V37" s="87">
        <f>'Request #40'!V37</f>
        <v>0</v>
      </c>
      <c r="W37" s="88">
        <f>SUMIF(F7:F79,26,E7:E79)</f>
        <v>0</v>
      </c>
      <c r="X37" s="88">
        <f>'Request #40'!Y37</f>
        <v>0</v>
      </c>
      <c r="Y37" s="88">
        <f t="shared" si="1"/>
        <v>0</v>
      </c>
      <c r="Z37" s="88">
        <f t="shared" si="2"/>
        <v>0</v>
      </c>
      <c r="AA37" s="88">
        <f>SUMIF(P7:P79,26,O7:O79)</f>
        <v>0</v>
      </c>
      <c r="AB37" s="50" t="str">
        <f>IF(W37&gt;='Request #40'!AA37,"OK","Alert,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197">
        <f t="shared" si="3"/>
        <v>32</v>
      </c>
      <c r="H38" s="198" t="str">
        <f t="shared" si="3"/>
        <v>Other Fees</v>
      </c>
      <c r="I38" s="247">
        <f t="shared" si="3"/>
        <v>0</v>
      </c>
      <c r="K38" s="159"/>
      <c r="L38" s="157"/>
      <c r="M38" s="157"/>
      <c r="N38" s="154"/>
      <c r="O38" s="155"/>
      <c r="P38" s="158"/>
      <c r="R38" s="50" t="str">
        <f>IF(V38='Request #40'!V38,"OK","Send in Change Order")</f>
        <v>OK</v>
      </c>
      <c r="S38" s="85">
        <v>27</v>
      </c>
      <c r="T38" s="86" t="s">
        <v>82</v>
      </c>
      <c r="U38" s="218">
        <f>'Request #40'!U38</f>
        <v>0</v>
      </c>
      <c r="V38" s="87">
        <f>'Request #40'!V38</f>
        <v>0</v>
      </c>
      <c r="W38" s="88">
        <f>SUMIF(F7:F79,27,E7:E79)</f>
        <v>0</v>
      </c>
      <c r="X38" s="88">
        <f>'Request #40'!Y38</f>
        <v>0</v>
      </c>
      <c r="Y38" s="88">
        <f t="shared" si="1"/>
        <v>0</v>
      </c>
      <c r="Z38" s="88">
        <f t="shared" si="2"/>
        <v>0</v>
      </c>
      <c r="AA38" s="88">
        <f>SUMIF(P7:P79,27,O7:O79)</f>
        <v>0</v>
      </c>
      <c r="AB38" s="50" t="str">
        <f>IF(W38&gt;='Request #40'!AA38,"OK","Alert,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197">
        <f t="shared" si="3"/>
        <v>33</v>
      </c>
      <c r="H39" s="198" t="str">
        <f t="shared" si="3"/>
        <v>Other Fees</v>
      </c>
      <c r="I39" s="247">
        <f t="shared" si="3"/>
        <v>0</v>
      </c>
      <c r="K39" s="159"/>
      <c r="L39" s="157"/>
      <c r="M39" s="157"/>
      <c r="N39" s="154"/>
      <c r="O39" s="155"/>
      <c r="P39" s="158"/>
      <c r="R39" s="50" t="str">
        <f>IF(V39='Request #40'!V39,"OK","Send in Change Order")</f>
        <v>OK</v>
      </c>
      <c r="S39" s="85">
        <v>28</v>
      </c>
      <c r="T39" s="86" t="s">
        <v>82</v>
      </c>
      <c r="U39" s="218">
        <f>'Request #40'!U39</f>
        <v>0</v>
      </c>
      <c r="V39" s="87">
        <f>'Request #40'!V39</f>
        <v>0</v>
      </c>
      <c r="W39" s="88">
        <f>SUMIF(F7:F79,28,E7:E79)</f>
        <v>0</v>
      </c>
      <c r="X39" s="88">
        <f>'Request #40'!Y39</f>
        <v>0</v>
      </c>
      <c r="Y39" s="88">
        <f t="shared" si="1"/>
        <v>0</v>
      </c>
      <c r="Z39" s="88">
        <f t="shared" si="2"/>
        <v>0</v>
      </c>
      <c r="AA39" s="88">
        <f>SUMIF(P7:P79,28,O7:O79)</f>
        <v>0</v>
      </c>
      <c r="AB39" s="50" t="str">
        <f>IF(W39&gt;='Request #40'!AA39,"OK","Alert,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197">
        <f t="shared" ref="G40:I55" si="4">S45</f>
        <v>0</v>
      </c>
      <c r="H40" s="198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#40'!V40,"OK","Send in Change Order")</f>
        <v>OK</v>
      </c>
      <c r="S40" s="85">
        <v>29</v>
      </c>
      <c r="T40" s="86" t="s">
        <v>82</v>
      </c>
      <c r="U40" s="218">
        <f>'Request #40'!U40</f>
        <v>0</v>
      </c>
      <c r="V40" s="87">
        <f>'Request #40'!V40</f>
        <v>0</v>
      </c>
      <c r="W40" s="88">
        <f>SUMIF(F7:F79,29,E7:E79)</f>
        <v>0</v>
      </c>
      <c r="X40" s="88">
        <f>'Request #40'!Y40</f>
        <v>0</v>
      </c>
      <c r="Y40" s="88">
        <f t="shared" si="1"/>
        <v>0</v>
      </c>
      <c r="Z40" s="88">
        <f t="shared" si="2"/>
        <v>0</v>
      </c>
      <c r="AA40" s="88">
        <f>SUMIF(P7:P79,29,O7:O79)</f>
        <v>0</v>
      </c>
      <c r="AB40" s="50" t="str">
        <f>IF(W40&gt;='Request #40'!AA40,"OK","Alert,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197" t="str">
        <f t="shared" si="4"/>
        <v>Cost</v>
      </c>
      <c r="H41" s="198">
        <f t="shared" si="4"/>
        <v>0</v>
      </c>
      <c r="I41" s="247">
        <f t="shared" si="4"/>
        <v>0</v>
      </c>
      <c r="K41" s="159"/>
      <c r="L41" s="157"/>
      <c r="M41" s="157"/>
      <c r="N41" s="154"/>
      <c r="O41" s="155"/>
      <c r="P41" s="158"/>
      <c r="R41" s="50" t="str">
        <f>IF(V41='Request #40'!V41,"OK","Send in Change Order")</f>
        <v>OK</v>
      </c>
      <c r="S41" s="85">
        <v>30</v>
      </c>
      <c r="T41" s="86" t="s">
        <v>82</v>
      </c>
      <c r="U41" s="218">
        <f>'Request #40'!U41</f>
        <v>0</v>
      </c>
      <c r="V41" s="87">
        <f>'Request #40'!V41</f>
        <v>0</v>
      </c>
      <c r="W41" s="88">
        <f>SUMIF(F7:F79,30,E7:E79)</f>
        <v>0</v>
      </c>
      <c r="X41" s="88">
        <f>'Request #40'!Y41</f>
        <v>0</v>
      </c>
      <c r="Y41" s="88">
        <f t="shared" si="1"/>
        <v>0</v>
      </c>
      <c r="Z41" s="88">
        <f t="shared" si="2"/>
        <v>0</v>
      </c>
      <c r="AA41" s="88">
        <f>SUMIF(P7:P79,30,O7:O79)</f>
        <v>0</v>
      </c>
      <c r="AB41" s="50" t="str">
        <f>IF(W41&gt;='Request #40'!AA41,"OK","Alert,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197" t="str">
        <f t="shared" si="4"/>
        <v>Item</v>
      </c>
      <c r="H42" s="198" t="str">
        <f t="shared" si="4"/>
        <v>Account Name</v>
      </c>
      <c r="I42" s="247">
        <f t="shared" si="4"/>
        <v>0</v>
      </c>
      <c r="K42" s="159"/>
      <c r="L42" s="157"/>
      <c r="M42" s="157"/>
      <c r="N42" s="154"/>
      <c r="O42" s="155"/>
      <c r="P42" s="158"/>
      <c r="R42" s="50" t="str">
        <f>IF(V42='Request #40'!V42,"OK","Send in Change Order")</f>
        <v>OK</v>
      </c>
      <c r="S42" s="85">
        <v>31</v>
      </c>
      <c r="T42" s="86" t="s">
        <v>82</v>
      </c>
      <c r="U42" s="218">
        <f>'Request #40'!U42</f>
        <v>0</v>
      </c>
      <c r="V42" s="87">
        <f>'Request #40'!V42</f>
        <v>0</v>
      </c>
      <c r="W42" s="88">
        <f>SUMIF(F7:F79,31,E7:E79)</f>
        <v>0</v>
      </c>
      <c r="X42" s="88">
        <f>'Request #40'!Y42</f>
        <v>0</v>
      </c>
      <c r="Y42" s="88">
        <f t="shared" si="1"/>
        <v>0</v>
      </c>
      <c r="Z42" s="88">
        <f t="shared" si="2"/>
        <v>0</v>
      </c>
      <c r="AA42" s="88">
        <f>SUMIF(P7:P79,31,O7:O79)</f>
        <v>0</v>
      </c>
      <c r="AB42" s="50" t="str">
        <f>IF(W42&gt;='Request #40'!AA42,"OK","Alert,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197">
        <f t="shared" si="4"/>
        <v>0</v>
      </c>
      <c r="H43" s="198">
        <f t="shared" si="4"/>
        <v>0</v>
      </c>
      <c r="I43" s="247">
        <f t="shared" si="4"/>
        <v>0</v>
      </c>
      <c r="K43" s="159"/>
      <c r="L43" s="157"/>
      <c r="M43" s="157"/>
      <c r="N43" s="154"/>
      <c r="O43" s="155"/>
      <c r="P43" s="158"/>
      <c r="R43" s="50" t="str">
        <f>IF(V43='Request #40'!V43,"OK","Send in Change Order")</f>
        <v>OK</v>
      </c>
      <c r="S43" s="85">
        <v>32</v>
      </c>
      <c r="T43" s="86" t="s">
        <v>82</v>
      </c>
      <c r="U43" s="218">
        <f>'Request #40'!U43</f>
        <v>0</v>
      </c>
      <c r="V43" s="87">
        <f>'Request #40'!V43</f>
        <v>0</v>
      </c>
      <c r="W43" s="88">
        <f>SUMIF(F7:F79,32,E7:E79)</f>
        <v>0</v>
      </c>
      <c r="X43" s="88">
        <f>'Request #40'!Y43</f>
        <v>0</v>
      </c>
      <c r="Y43" s="88">
        <f t="shared" si="1"/>
        <v>0</v>
      </c>
      <c r="Z43" s="88">
        <f t="shared" si="2"/>
        <v>0</v>
      </c>
      <c r="AA43" s="88">
        <f>SUMIF(P7:P79,32,O7:O79)</f>
        <v>0</v>
      </c>
      <c r="AB43" s="50" t="str">
        <f>IF(W43&gt;='Request #40'!AA43,"OK","Alert,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197">
        <f t="shared" si="4"/>
        <v>38</v>
      </c>
      <c r="H44" s="198" t="str">
        <f t="shared" si="4"/>
        <v>Other Fees</v>
      </c>
      <c r="I44" s="247">
        <f t="shared" si="4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#40'!V44,"OK","Send in Change Order")</f>
        <v>OK</v>
      </c>
      <c r="S44" s="85">
        <v>33</v>
      </c>
      <c r="T44" s="86" t="s">
        <v>82</v>
      </c>
      <c r="U44" s="218">
        <f>'Request #40'!U44</f>
        <v>0</v>
      </c>
      <c r="V44" s="87">
        <f>'Request #40'!V44</f>
        <v>0</v>
      </c>
      <c r="W44" s="88">
        <f>SUMIF(F7:F79,33,E7:E79)</f>
        <v>0</v>
      </c>
      <c r="X44" s="88">
        <f>'Request #40'!Y44</f>
        <v>0</v>
      </c>
      <c r="Y44" s="88">
        <f t="shared" si="1"/>
        <v>0</v>
      </c>
      <c r="Z44" s="88">
        <f t="shared" si="2"/>
        <v>0</v>
      </c>
      <c r="AA44" s="88">
        <f>SUMIF(P7:P79,33,O7:O79)</f>
        <v>0</v>
      </c>
      <c r="AB44" s="50" t="str">
        <f>IF(W44&gt;='Request #40'!AA44,"OK","Alert,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4"/>
        <v>39</v>
      </c>
      <c r="H45" s="205" t="str">
        <f t="shared" si="4"/>
        <v>Other Fees</v>
      </c>
      <c r="I45" s="247">
        <f t="shared" si="4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4"/>
        <v>40</v>
      </c>
      <c r="H46" s="205" t="str">
        <f t="shared" si="4"/>
        <v>Other Fees</v>
      </c>
      <c r="I46" s="247">
        <f t="shared" si="4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197">
        <f t="shared" si="4"/>
        <v>41</v>
      </c>
      <c r="H47" s="198" t="str">
        <f t="shared" si="4"/>
        <v>Other Fees</v>
      </c>
      <c r="I47" s="247">
        <f t="shared" si="4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197">
        <f t="shared" si="4"/>
        <v>42</v>
      </c>
      <c r="H48" s="198" t="str">
        <f t="shared" si="4"/>
        <v>Other Fees</v>
      </c>
      <c r="I48" s="247">
        <f t="shared" si="4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197">
        <f t="shared" si="4"/>
        <v>43</v>
      </c>
      <c r="H49" s="198" t="str">
        <f t="shared" si="4"/>
        <v>Other Fees</v>
      </c>
      <c r="I49" s="247">
        <f t="shared" si="4"/>
        <v>0</v>
      </c>
      <c r="K49" s="159"/>
      <c r="L49" s="157"/>
      <c r="M49" s="157"/>
      <c r="N49" s="154"/>
      <c r="O49" s="155"/>
      <c r="P49" s="158"/>
      <c r="R49" s="50" t="str">
        <f>IF(V49='Request #40'!V49,"OK","Send in Change Order")</f>
        <v>OK</v>
      </c>
      <c r="S49" s="85">
        <v>38</v>
      </c>
      <c r="T49" s="86" t="s">
        <v>82</v>
      </c>
      <c r="U49" s="218">
        <f>'Request #40'!U49</f>
        <v>0</v>
      </c>
      <c r="V49" s="87">
        <f>'Request #40'!V49</f>
        <v>0</v>
      </c>
      <c r="W49" s="88">
        <f>SUMIF(F7:F79,38,E7:E79)</f>
        <v>0</v>
      </c>
      <c r="X49" s="88">
        <f>'Request #40'!Y49</f>
        <v>0</v>
      </c>
      <c r="Y49" s="88">
        <f t="shared" si="1"/>
        <v>0</v>
      </c>
      <c r="Z49" s="88">
        <f t="shared" si="2"/>
        <v>0</v>
      </c>
      <c r="AA49" s="88">
        <f>SUMIF(P7:P79,38,O7:O79)</f>
        <v>0</v>
      </c>
      <c r="AB49" s="50" t="str">
        <f>IF(W49&gt;='Request #40'!AA49,"OK","Alert,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197">
        <f t="shared" si="4"/>
        <v>44</v>
      </c>
      <c r="H50" s="198" t="str">
        <f t="shared" si="4"/>
        <v>Other Fees</v>
      </c>
      <c r="I50" s="247">
        <f t="shared" si="4"/>
        <v>0</v>
      </c>
      <c r="K50" s="159"/>
      <c r="L50" s="157"/>
      <c r="M50" s="157"/>
      <c r="N50" s="154"/>
      <c r="O50" s="155"/>
      <c r="P50" s="158"/>
      <c r="R50" s="50" t="str">
        <f>IF(V50='Request #40'!V50,"OK","Send in Change Order")</f>
        <v>OK</v>
      </c>
      <c r="S50" s="85">
        <v>39</v>
      </c>
      <c r="T50" s="86" t="s">
        <v>82</v>
      </c>
      <c r="U50" s="218">
        <f>'Request #40'!U50</f>
        <v>0</v>
      </c>
      <c r="V50" s="87">
        <f>'Request #40'!V50</f>
        <v>0</v>
      </c>
      <c r="W50" s="88">
        <f>SUMIF(F7:F79,39,E7:E79)</f>
        <v>0</v>
      </c>
      <c r="X50" s="88">
        <f>'Request #40'!Y50</f>
        <v>0</v>
      </c>
      <c r="Y50" s="88">
        <f t="shared" si="1"/>
        <v>0</v>
      </c>
      <c r="Z50" s="88">
        <f t="shared" si="2"/>
        <v>0</v>
      </c>
      <c r="AA50" s="88">
        <f>SUMIF(P7:P79,39,O7:O79)</f>
        <v>0</v>
      </c>
      <c r="AB50" s="50" t="str">
        <f>IF(W50&gt;='Request #40'!AA50,"OK","Alert,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197">
        <f t="shared" si="4"/>
        <v>45</v>
      </c>
      <c r="H51" s="198" t="str">
        <f t="shared" si="4"/>
        <v>Other Fees</v>
      </c>
      <c r="I51" s="247">
        <f t="shared" si="4"/>
        <v>0</v>
      </c>
      <c r="K51" s="159"/>
      <c r="L51" s="157"/>
      <c r="M51" s="157"/>
      <c r="N51" s="154"/>
      <c r="O51" s="155"/>
      <c r="P51" s="158"/>
      <c r="R51" s="50" t="str">
        <f>IF(V51='Request #40'!V51,"OK","Send in Change Order")</f>
        <v>OK</v>
      </c>
      <c r="S51" s="85">
        <v>40</v>
      </c>
      <c r="T51" s="86" t="s">
        <v>82</v>
      </c>
      <c r="U51" s="218">
        <f>'Request #40'!U51</f>
        <v>0</v>
      </c>
      <c r="V51" s="87">
        <f>'Request #40'!V51</f>
        <v>0</v>
      </c>
      <c r="W51" s="88">
        <f>SUMIF(F7:F79,40,E7:E79)</f>
        <v>0</v>
      </c>
      <c r="X51" s="88">
        <f>'Request #40'!Y51</f>
        <v>0</v>
      </c>
      <c r="Y51" s="88">
        <f t="shared" si="1"/>
        <v>0</v>
      </c>
      <c r="Z51" s="88">
        <f t="shared" si="2"/>
        <v>0</v>
      </c>
      <c r="AA51" s="88">
        <f>SUMIF(P7:P79,40,O7:O79)</f>
        <v>0</v>
      </c>
      <c r="AB51" s="50" t="str">
        <f>IF(W51&gt;='Request #40'!AA51,"OK","Alert,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197">
        <f t="shared" si="4"/>
        <v>46</v>
      </c>
      <c r="H52" s="198" t="str">
        <f t="shared" si="4"/>
        <v>Other Fees</v>
      </c>
      <c r="I52" s="247">
        <f t="shared" si="4"/>
        <v>0</v>
      </c>
      <c r="K52" s="159"/>
      <c r="L52" s="157"/>
      <c r="M52" s="157"/>
      <c r="N52" s="154"/>
      <c r="O52" s="155"/>
      <c r="P52" s="158"/>
      <c r="R52" s="50" t="str">
        <f>IF(V52='Request #40'!V52,"OK","Send in Change Order")</f>
        <v>OK</v>
      </c>
      <c r="S52" s="85">
        <v>41</v>
      </c>
      <c r="T52" s="86" t="s">
        <v>82</v>
      </c>
      <c r="U52" s="218">
        <f>'Request #40'!U52</f>
        <v>0</v>
      </c>
      <c r="V52" s="87">
        <f>'Request #40'!V52</f>
        <v>0</v>
      </c>
      <c r="W52" s="88">
        <f>SUMIF(F7:F79,41,E7:E79)</f>
        <v>0</v>
      </c>
      <c r="X52" s="88">
        <f>'Request #40'!Y52</f>
        <v>0</v>
      </c>
      <c r="Y52" s="88">
        <f t="shared" si="1"/>
        <v>0</v>
      </c>
      <c r="Z52" s="88">
        <f t="shared" si="2"/>
        <v>0</v>
      </c>
      <c r="AA52" s="88">
        <f>SUMIF(P7:P79,41,O7:O79)</f>
        <v>0</v>
      </c>
      <c r="AB52" s="50" t="str">
        <f>IF(W52&gt;='Request #40'!AA52,"OK","Alert,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197">
        <f t="shared" si="4"/>
        <v>47</v>
      </c>
      <c r="H53" s="198" t="str">
        <f t="shared" si="4"/>
        <v>Other Fees</v>
      </c>
      <c r="I53" s="247">
        <f t="shared" si="4"/>
        <v>0</v>
      </c>
      <c r="K53" s="159"/>
      <c r="L53" s="157"/>
      <c r="M53" s="157"/>
      <c r="N53" s="154"/>
      <c r="O53" s="155"/>
      <c r="P53" s="158"/>
      <c r="R53" s="50" t="str">
        <f>IF(V53='Request #40'!V53,"OK","Send in Change Order")</f>
        <v>OK</v>
      </c>
      <c r="S53" s="85">
        <v>42</v>
      </c>
      <c r="T53" s="86" t="s">
        <v>82</v>
      </c>
      <c r="U53" s="218">
        <f>'Request #40'!U53</f>
        <v>0</v>
      </c>
      <c r="V53" s="87">
        <f>'Request #40'!V53</f>
        <v>0</v>
      </c>
      <c r="W53" s="88">
        <f>SUMIF(F7:F79,42,E7:E79)</f>
        <v>0</v>
      </c>
      <c r="X53" s="88">
        <f>'Request #40'!Y53</f>
        <v>0</v>
      </c>
      <c r="Y53" s="88">
        <f t="shared" si="1"/>
        <v>0</v>
      </c>
      <c r="Z53" s="88">
        <f t="shared" si="2"/>
        <v>0</v>
      </c>
      <c r="AA53" s="88">
        <f>SUMIF(P7:P79,42,O7:O79)</f>
        <v>0</v>
      </c>
      <c r="AB53" s="50" t="str">
        <f>IF(W53&gt;='Request #40'!AA53,"OK","Alert,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197">
        <f t="shared" si="4"/>
        <v>48</v>
      </c>
      <c r="H54" s="198" t="str">
        <f t="shared" si="4"/>
        <v>Other Fees</v>
      </c>
      <c r="I54" s="247">
        <f t="shared" si="4"/>
        <v>0</v>
      </c>
      <c r="K54" s="159"/>
      <c r="L54" s="157"/>
      <c r="M54" s="157"/>
      <c r="N54" s="154"/>
      <c r="O54" s="155"/>
      <c r="P54" s="158"/>
      <c r="R54" s="50" t="str">
        <f>IF(V54='Request #40'!V54,"OK","Send in Change Order")</f>
        <v>OK</v>
      </c>
      <c r="S54" s="85">
        <v>43</v>
      </c>
      <c r="T54" s="86" t="s">
        <v>82</v>
      </c>
      <c r="U54" s="218">
        <f>'Request #40'!U54</f>
        <v>0</v>
      </c>
      <c r="V54" s="87">
        <f>'Request #40'!V54</f>
        <v>0</v>
      </c>
      <c r="W54" s="88">
        <f>SUMIF(F7:F79,43,E7:E79)</f>
        <v>0</v>
      </c>
      <c r="X54" s="88">
        <f>'Request #40'!Y54</f>
        <v>0</v>
      </c>
      <c r="Y54" s="88">
        <f t="shared" si="1"/>
        <v>0</v>
      </c>
      <c r="Z54" s="88">
        <f t="shared" si="2"/>
        <v>0</v>
      </c>
      <c r="AA54" s="88">
        <f>SUMIF(P7:P79,43,O7:O79)</f>
        <v>0</v>
      </c>
      <c r="AB54" s="50" t="str">
        <f>IF(W54&gt;='Request #40'!AA54,"OK","Alert,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197">
        <f t="shared" si="4"/>
        <v>49</v>
      </c>
      <c r="H55" s="198" t="str">
        <f t="shared" si="4"/>
        <v>Other Fees</v>
      </c>
      <c r="I55" s="247">
        <f t="shared" si="4"/>
        <v>0</v>
      </c>
      <c r="K55" s="159"/>
      <c r="L55" s="157"/>
      <c r="M55" s="157"/>
      <c r="N55" s="154"/>
      <c r="O55" s="155"/>
      <c r="P55" s="158"/>
      <c r="R55" s="50" t="str">
        <f>IF(V55='Request #40'!V55,"OK","Send in Change Order")</f>
        <v>OK</v>
      </c>
      <c r="S55" s="85">
        <v>44</v>
      </c>
      <c r="T55" s="86" t="s">
        <v>82</v>
      </c>
      <c r="U55" s="218">
        <f>'Request #40'!U55</f>
        <v>0</v>
      </c>
      <c r="V55" s="87">
        <f>'Request #40'!V55</f>
        <v>0</v>
      </c>
      <c r="W55" s="88">
        <f>SUMIF(F7:F79,44,E7:E79)</f>
        <v>0</v>
      </c>
      <c r="X55" s="88">
        <f>'Request #40'!Y55</f>
        <v>0</v>
      </c>
      <c r="Y55" s="88">
        <f t="shared" si="1"/>
        <v>0</v>
      </c>
      <c r="Z55" s="88">
        <f t="shared" si="2"/>
        <v>0</v>
      </c>
      <c r="AA55" s="88">
        <f>SUMIF(P7:P79,44,O7:O79)</f>
        <v>0</v>
      </c>
      <c r="AB55" s="50" t="str">
        <f>IF(W55&gt;='Request #40'!AA55,"OK","Alert,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197">
        <f t="shared" ref="G56:I62" si="5">S61</f>
        <v>50</v>
      </c>
      <c r="H56" s="198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#40'!V56,"OK","Send in Change Order")</f>
        <v>OK</v>
      </c>
      <c r="S56" s="85">
        <v>45</v>
      </c>
      <c r="T56" s="86" t="s">
        <v>82</v>
      </c>
      <c r="U56" s="218">
        <f>'Request #40'!U56</f>
        <v>0</v>
      </c>
      <c r="V56" s="87">
        <f>'Request #40'!V56</f>
        <v>0</v>
      </c>
      <c r="W56" s="88">
        <f>SUMIF(F7:F79,45,E7:E79)</f>
        <v>0</v>
      </c>
      <c r="X56" s="88">
        <f>'Request #40'!Y56</f>
        <v>0</v>
      </c>
      <c r="Y56" s="88">
        <f t="shared" si="1"/>
        <v>0</v>
      </c>
      <c r="Z56" s="88">
        <f t="shared" si="2"/>
        <v>0</v>
      </c>
      <c r="AA56" s="88">
        <f>SUMIF(P7:P79,45,O7:O79)</f>
        <v>0</v>
      </c>
      <c r="AB56" s="50" t="str">
        <f>IF(W56&gt;='Request #40'!AA56,"OK","Alert,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197">
        <f t="shared" si="5"/>
        <v>51</v>
      </c>
      <c r="H57" s="198" t="str">
        <f t="shared" si="5"/>
        <v>Other Fees</v>
      </c>
      <c r="I57" s="247">
        <f t="shared" si="5"/>
        <v>0</v>
      </c>
      <c r="K57" s="159"/>
      <c r="L57" s="157"/>
      <c r="M57" s="157"/>
      <c r="N57" s="154"/>
      <c r="O57" s="155"/>
      <c r="P57" s="158"/>
      <c r="R57" s="50" t="str">
        <f>IF(V57='Request #40'!V57,"OK","Send in Change Order")</f>
        <v>OK</v>
      </c>
      <c r="S57" s="85">
        <v>46</v>
      </c>
      <c r="T57" s="86" t="s">
        <v>82</v>
      </c>
      <c r="U57" s="218">
        <f>'Request #40'!U57</f>
        <v>0</v>
      </c>
      <c r="V57" s="87">
        <f>'Request #40'!V57</f>
        <v>0</v>
      </c>
      <c r="W57" s="88">
        <f>SUMIF(F7:F79,46,E7:E79)</f>
        <v>0</v>
      </c>
      <c r="X57" s="88">
        <f>'Request #40'!Y57</f>
        <v>0</v>
      </c>
      <c r="Y57" s="88">
        <f t="shared" si="1"/>
        <v>0</v>
      </c>
      <c r="Z57" s="88">
        <f t="shared" si="2"/>
        <v>0</v>
      </c>
      <c r="AA57" s="88">
        <f>SUMIF(P7:P79,46,O7:O79)</f>
        <v>0</v>
      </c>
      <c r="AB57" s="50" t="str">
        <f>IF(W57&gt;='Request #40'!AA57,"OK","Alert,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197">
        <f t="shared" si="5"/>
        <v>52</v>
      </c>
      <c r="H58" s="198" t="str">
        <f t="shared" si="5"/>
        <v>Worked Performed by Owner</v>
      </c>
      <c r="I58" s="247">
        <f t="shared" si="5"/>
        <v>0</v>
      </c>
      <c r="K58" s="159"/>
      <c r="L58" s="157"/>
      <c r="M58" s="157"/>
      <c r="N58" s="154"/>
      <c r="O58" s="155"/>
      <c r="P58" s="158"/>
      <c r="R58" s="50" t="str">
        <f>IF(V58='Request #40'!V58,"OK","Send in Change Order")</f>
        <v>OK</v>
      </c>
      <c r="S58" s="85">
        <v>47</v>
      </c>
      <c r="T58" s="86" t="s">
        <v>82</v>
      </c>
      <c r="U58" s="218">
        <f>'Request #40'!U58</f>
        <v>0</v>
      </c>
      <c r="V58" s="87">
        <f>'Request #40'!V58</f>
        <v>0</v>
      </c>
      <c r="W58" s="88">
        <f>SUMIF(F7:F79,47,E7:E79)</f>
        <v>0</v>
      </c>
      <c r="X58" s="88">
        <f>'Request #40'!Y58</f>
        <v>0</v>
      </c>
      <c r="Y58" s="88">
        <f t="shared" si="1"/>
        <v>0</v>
      </c>
      <c r="Z58" s="88">
        <f t="shared" si="2"/>
        <v>0</v>
      </c>
      <c r="AA58" s="88">
        <f>SUMIF(P7:P79,47,O7:O79)</f>
        <v>0</v>
      </c>
      <c r="AB58" s="50" t="str">
        <f>IF(W58&gt;='Request #40'!AA58,"OK","Alert,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197">
        <f t="shared" si="5"/>
        <v>53</v>
      </c>
      <c r="H59" s="198" t="str">
        <f t="shared" si="5"/>
        <v>Equipment (Major)</v>
      </c>
      <c r="I59" s="247">
        <f t="shared" si="5"/>
        <v>0</v>
      </c>
      <c r="K59" s="159"/>
      <c r="L59" s="157"/>
      <c r="M59" s="157"/>
      <c r="N59" s="154"/>
      <c r="O59" s="155"/>
      <c r="P59" s="158"/>
      <c r="R59" s="50" t="str">
        <f>IF(V59='Request #40'!V59,"OK","Send in Change Order")</f>
        <v>OK</v>
      </c>
      <c r="S59" s="85">
        <v>48</v>
      </c>
      <c r="T59" s="86" t="s">
        <v>82</v>
      </c>
      <c r="U59" s="218">
        <f>'Request #40'!U59</f>
        <v>0</v>
      </c>
      <c r="V59" s="87">
        <f>'Request #40'!V59</f>
        <v>0</v>
      </c>
      <c r="W59" s="88">
        <f>SUMIF(F7:F79,48,E7:E79)</f>
        <v>0</v>
      </c>
      <c r="X59" s="88">
        <f>'Request #40'!Y59</f>
        <v>0</v>
      </c>
      <c r="Y59" s="88">
        <f t="shared" si="1"/>
        <v>0</v>
      </c>
      <c r="Z59" s="88">
        <f t="shared" si="2"/>
        <v>0</v>
      </c>
      <c r="AA59" s="88">
        <f>SUMIF(P7:P79,48,O7:O79)</f>
        <v>0</v>
      </c>
      <c r="AB59" s="50" t="str">
        <f>IF(W59&gt;='Request #40'!AA59,"OK","Alert,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197">
        <f t="shared" si="5"/>
        <v>54</v>
      </c>
      <c r="H60" s="198" t="str">
        <f t="shared" si="5"/>
        <v>Contingency Fund</v>
      </c>
      <c r="I60" s="247">
        <f t="shared" si="5"/>
        <v>0</v>
      </c>
      <c r="K60" s="159"/>
      <c r="L60" s="157"/>
      <c r="M60" s="157"/>
      <c r="N60" s="154"/>
      <c r="O60" s="155"/>
      <c r="P60" s="158"/>
      <c r="R60" s="50" t="str">
        <f>IF(V60='Request #40'!V60,"OK","Send in Change Order")</f>
        <v>OK</v>
      </c>
      <c r="S60" s="85">
        <v>49</v>
      </c>
      <c r="T60" s="86" t="s">
        <v>82</v>
      </c>
      <c r="U60" s="218">
        <f>'Request #40'!U60</f>
        <v>0</v>
      </c>
      <c r="V60" s="87">
        <f>'Request #40'!V60</f>
        <v>0</v>
      </c>
      <c r="W60" s="88">
        <f>SUMIF(F7:F79,49,E7:E79)</f>
        <v>0</v>
      </c>
      <c r="X60" s="88">
        <f>'Request #40'!Y60</f>
        <v>0</v>
      </c>
      <c r="Y60" s="88">
        <f t="shared" si="1"/>
        <v>0</v>
      </c>
      <c r="Z60" s="88">
        <f t="shared" si="2"/>
        <v>0</v>
      </c>
      <c r="AA60" s="88">
        <f>SUMIF(P7:P79,49,O7:O79)</f>
        <v>0</v>
      </c>
      <c r="AB60" s="50" t="str">
        <f>IF(W60&gt;='Request #40'!AA60,"OK","Alert,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197">
        <f t="shared" si="5"/>
        <v>55</v>
      </c>
      <c r="H61" s="198">
        <f t="shared" si="5"/>
        <v>0</v>
      </c>
      <c r="I61" s="247">
        <f t="shared" si="5"/>
        <v>0</v>
      </c>
      <c r="K61" s="159"/>
      <c r="L61" s="157"/>
      <c r="M61" s="157"/>
      <c r="N61" s="154"/>
      <c r="O61" s="155"/>
      <c r="P61" s="158"/>
      <c r="R61" s="50" t="str">
        <f>IF(V61='Request #40'!V61,"OK","Send in Change Order")</f>
        <v>OK</v>
      </c>
      <c r="S61" s="85">
        <v>50</v>
      </c>
      <c r="T61" s="86" t="s">
        <v>82</v>
      </c>
      <c r="U61" s="218">
        <f>'Request #40'!U61</f>
        <v>0</v>
      </c>
      <c r="V61" s="87">
        <f>'Request #40'!V61</f>
        <v>0</v>
      </c>
      <c r="W61" s="88">
        <f>SUMIF(F7:F79,50,E7:E79)</f>
        <v>0</v>
      </c>
      <c r="X61" s="88">
        <f>'Request #40'!Y61</f>
        <v>0</v>
      </c>
      <c r="Y61" s="88">
        <f t="shared" si="1"/>
        <v>0</v>
      </c>
      <c r="Z61" s="88">
        <f t="shared" si="2"/>
        <v>0</v>
      </c>
      <c r="AA61" s="88">
        <f>SUMIF(P7:P79,50,O7:O79)</f>
        <v>0</v>
      </c>
      <c r="AB61" s="50" t="str">
        <f>IF(W61&gt;='Request #40'!AA61,"OK","Alert,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197">
        <f t="shared" si="5"/>
        <v>56</v>
      </c>
      <c r="H62" s="198">
        <f t="shared" si="5"/>
        <v>0</v>
      </c>
      <c r="I62" s="247">
        <f t="shared" si="5"/>
        <v>0</v>
      </c>
      <c r="K62" s="159"/>
      <c r="L62" s="157"/>
      <c r="M62" s="157"/>
      <c r="N62" s="154"/>
      <c r="O62" s="155"/>
      <c r="P62" s="158"/>
      <c r="R62" s="50" t="str">
        <f>IF(V62='Request #40'!V62,"OK","Send in Change Order")</f>
        <v>OK</v>
      </c>
      <c r="S62" s="85">
        <v>51</v>
      </c>
      <c r="T62" s="86" t="s">
        <v>82</v>
      </c>
      <c r="U62" s="218">
        <f>'Request #40'!U62</f>
        <v>0</v>
      </c>
      <c r="V62" s="87">
        <f>'Request #40'!V62</f>
        <v>0</v>
      </c>
      <c r="W62" s="88">
        <f>SUMIF(F7:F79,51,E7:E79)</f>
        <v>0</v>
      </c>
      <c r="X62" s="88">
        <f>'Request #40'!Y62</f>
        <v>0</v>
      </c>
      <c r="Y62" s="88">
        <f t="shared" si="1"/>
        <v>0</v>
      </c>
      <c r="Z62" s="88">
        <f t="shared" si="2"/>
        <v>0</v>
      </c>
      <c r="AA62" s="88">
        <f>SUMIF(P7:P79,51,O7:O79)</f>
        <v>0</v>
      </c>
      <c r="AB62" s="50" t="str">
        <f>IF(W62&gt;='Request #40'!AA62,"OK","Alert,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#40'!V63,"OK","Send in Change Order")</f>
        <v>OK</v>
      </c>
      <c r="S63" s="85">
        <v>52</v>
      </c>
      <c r="T63" s="86" t="s">
        <v>88</v>
      </c>
      <c r="U63" s="218">
        <f>'Request #40'!U63</f>
        <v>0</v>
      </c>
      <c r="V63" s="87">
        <f>'Request #40'!V63</f>
        <v>0</v>
      </c>
      <c r="W63" s="88">
        <f>SUMIF(F7:F79,52,E7:E79)</f>
        <v>0</v>
      </c>
      <c r="X63" s="88">
        <f>'Request #40'!Y63</f>
        <v>0</v>
      </c>
      <c r="Y63" s="88">
        <f t="shared" si="1"/>
        <v>0</v>
      </c>
      <c r="Z63" s="88">
        <f t="shared" si="2"/>
        <v>0</v>
      </c>
      <c r="AA63" s="88">
        <f>SUMIF(P7:P79,52,O7:O79)</f>
        <v>0</v>
      </c>
      <c r="AB63" s="50" t="str">
        <f>IF(W63&gt;='Request #40'!AA63,"OK","Alert,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#40'!V64,"OK","Send in Change Order")</f>
        <v>OK</v>
      </c>
      <c r="S64" s="85">
        <v>53</v>
      </c>
      <c r="T64" s="86" t="s">
        <v>89</v>
      </c>
      <c r="U64" s="218">
        <f>'Request #40'!U64</f>
        <v>0</v>
      </c>
      <c r="V64" s="87">
        <f>'Request #40'!V64</f>
        <v>0</v>
      </c>
      <c r="W64" s="88">
        <f>SUMIF(F7:F79,53,E7:E79)</f>
        <v>0</v>
      </c>
      <c r="X64" s="88">
        <f>'Request #40'!Y64</f>
        <v>0</v>
      </c>
      <c r="Y64" s="88">
        <f t="shared" si="1"/>
        <v>0</v>
      </c>
      <c r="Z64" s="88">
        <f t="shared" si="2"/>
        <v>0</v>
      </c>
      <c r="AA64" s="88">
        <f>SUMIF(P7:P79,53,O7:O79)</f>
        <v>0</v>
      </c>
      <c r="AB64" s="50" t="str">
        <f>IF(W64&gt;='Request #40'!AA64,"OK","Alert,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#40'!V65,"OK","Send in Change Order")</f>
        <v>OK</v>
      </c>
      <c r="S65" s="85">
        <v>54</v>
      </c>
      <c r="T65" s="102" t="s">
        <v>90</v>
      </c>
      <c r="U65" s="218">
        <f>'Request #40'!U65</f>
        <v>0</v>
      </c>
      <c r="V65" s="87">
        <f>'Request #40'!V65</f>
        <v>0</v>
      </c>
      <c r="W65" s="104"/>
      <c r="X65" s="88">
        <f>'Request #40'!Y65</f>
        <v>0</v>
      </c>
      <c r="Y65" s="88">
        <f t="shared" si="1"/>
        <v>0</v>
      </c>
      <c r="Z65" s="88">
        <f t="shared" si="2"/>
        <v>0</v>
      </c>
      <c r="AA65" s="104"/>
      <c r="AB65" s="50" t="str">
        <f>IF(W65&gt;='Request #40'!AA65,"OK","Alert,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#40'!V66,"OK","Send in Change Order")</f>
        <v>OK</v>
      </c>
      <c r="S66" s="85">
        <v>55</v>
      </c>
      <c r="T66" s="86"/>
      <c r="U66" s="218">
        <f>'Request #40'!U66</f>
        <v>0</v>
      </c>
      <c r="V66" s="87">
        <f>'Request #40'!V66</f>
        <v>0</v>
      </c>
      <c r="W66" s="88">
        <f>SUMIF(F7:F79,55,E7:E79)</f>
        <v>0</v>
      </c>
      <c r="X66" s="88">
        <f>'Request #40'!Y66</f>
        <v>0</v>
      </c>
      <c r="Y66" s="88">
        <f t="shared" si="1"/>
        <v>0</v>
      </c>
      <c r="Z66" s="88">
        <f t="shared" si="2"/>
        <v>0</v>
      </c>
      <c r="AA66" s="88">
        <f>SUMIF(P7:P79,55,O7:O79)</f>
        <v>0</v>
      </c>
      <c r="AB66" s="50" t="str">
        <f>IF(W66&gt;='Request #40'!AA66,"OK","Alert,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#40'!V67,"OK","Send in Change Order")</f>
        <v>OK</v>
      </c>
      <c r="S67" s="85">
        <v>56</v>
      </c>
      <c r="T67" s="79"/>
      <c r="U67" s="218">
        <f>'Request #40'!U67</f>
        <v>0</v>
      </c>
      <c r="V67" s="87">
        <f>'Request #40'!V67</f>
        <v>0</v>
      </c>
      <c r="W67" s="88">
        <f>SUMIF(F7:F79,56,E7:E79)</f>
        <v>0</v>
      </c>
      <c r="X67" s="88">
        <f>'Request #40'!Y67</f>
        <v>0</v>
      </c>
      <c r="Y67" s="88">
        <f t="shared" si="1"/>
        <v>0</v>
      </c>
      <c r="Z67" s="88">
        <f t="shared" si="2"/>
        <v>0</v>
      </c>
      <c r="AA67" s="88">
        <f>SUMIF(P7:P79,56,O7:O79)</f>
        <v>0</v>
      </c>
      <c r="AB67" s="50" t="str">
        <f>IF(W67&gt;='Request #40'!AA67,"OK","Alert,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#40'!V68,"OK","Send in Change Order")</f>
        <v>OK</v>
      </c>
      <c r="S68" s="316" t="s">
        <v>60</v>
      </c>
      <c r="T68" s="317"/>
      <c r="U68" s="166" t="s">
        <v>91</v>
      </c>
      <c r="V68" s="263">
        <f t="shared" ref="V68:AA68" si="6">SUM(V12:V67)</f>
        <v>0</v>
      </c>
      <c r="W68" s="105">
        <f t="shared" si="6"/>
        <v>0</v>
      </c>
      <c r="X68" s="105">
        <f t="shared" si="6"/>
        <v>0</v>
      </c>
      <c r="Y68" s="105">
        <f t="shared" si="6"/>
        <v>0</v>
      </c>
      <c r="Z68" s="105">
        <f t="shared" si="6"/>
        <v>0</v>
      </c>
      <c r="AA68" s="105">
        <f t="shared" si="6"/>
        <v>0</v>
      </c>
      <c r="AB68" s="50" t="str">
        <f>IF(W68&gt;='Request #40'!AA68,"OK","Alert,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108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167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190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119" t="e">
        <f>V72/V68</f>
        <v>#DIV/0!</v>
      </c>
      <c r="V72" s="88">
        <f>V68-V74-V73</f>
        <v>0</v>
      </c>
      <c r="W72" s="87">
        <v>0</v>
      </c>
      <c r="X72" s="88">
        <f>'Request #40'!Y72</f>
        <v>0</v>
      </c>
      <c r="Y72" s="88">
        <f t="shared" ref="Y72:Y73" si="7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S73" s="86" t="s">
        <v>95</v>
      </c>
      <c r="T73" s="114"/>
      <c r="U73" s="119" t="e">
        <f>V73/V68</f>
        <v>#DIV/0!</v>
      </c>
      <c r="V73" s="87">
        <f>'Request #40'!V73</f>
        <v>0</v>
      </c>
      <c r="W73" s="87">
        <v>0</v>
      </c>
      <c r="X73" s="88">
        <f>'Request #40'!Y73</f>
        <v>0</v>
      </c>
      <c r="Y73" s="88">
        <f t="shared" si="7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S74" s="120" t="s">
        <v>96</v>
      </c>
      <c r="T74" s="121"/>
      <c r="U74" s="119" t="e">
        <f>V74/V68</f>
        <v>#DIV/0!</v>
      </c>
      <c r="V74" s="87">
        <f>'Request #40'!V74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55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1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114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114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136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55"/>
      <c r="V80" s="55"/>
      <c r="W80" s="55"/>
      <c r="X80" s="138"/>
      <c r="Y80" s="45" t="s">
        <v>108</v>
      </c>
      <c r="Z80" s="43"/>
      <c r="AA80" s="88">
        <f>'Request #40'!AA79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41</v>
      </c>
      <c r="V87" s="55"/>
      <c r="W87" s="55"/>
      <c r="X87" s="138"/>
      <c r="Y87" s="45" t="s">
        <v>108</v>
      </c>
      <c r="Z87" s="43"/>
      <c r="AA87" s="88">
        <f>'Request #40'!AA86</f>
        <v>0</v>
      </c>
      <c r="AB87" s="110"/>
    </row>
    <row r="88" spans="1:28" ht="30" customHeight="1" thickBot="1" x14ac:dyDescent="0.35">
      <c r="S88" s="55"/>
      <c r="T88" s="55"/>
      <c r="U88" s="55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55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55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55"/>
      <c r="V91" s="55"/>
      <c r="W91" s="55"/>
      <c r="X91" s="55"/>
    </row>
    <row r="92" spans="1:28" ht="30" customHeight="1" x14ac:dyDescent="0.3">
      <c r="S92" s="55"/>
      <c r="T92" s="55"/>
      <c r="U92" s="55"/>
      <c r="V92" s="55"/>
      <c r="W92" s="55"/>
      <c r="X92" s="55"/>
    </row>
    <row r="93" spans="1:28" ht="30" customHeight="1" x14ac:dyDescent="0.3">
      <c r="S93" s="55"/>
      <c r="T93" s="55"/>
      <c r="U93" s="55"/>
      <c r="V93" s="55"/>
      <c r="W93" s="55"/>
      <c r="X93" s="55"/>
    </row>
    <row r="94" spans="1:28" ht="30" customHeight="1" x14ac:dyDescent="0.3">
      <c r="S94" s="55"/>
      <c r="T94" s="55"/>
      <c r="U94" s="55"/>
      <c r="V94" s="55"/>
      <c r="W94" s="55"/>
      <c r="X94" s="55"/>
    </row>
    <row r="95" spans="1:28" ht="30" customHeight="1" x14ac:dyDescent="0.3">
      <c r="S95" s="55"/>
      <c r="T95" s="55"/>
      <c r="U95" s="55"/>
      <c r="V95" s="55"/>
      <c r="W95" s="55"/>
      <c r="X95" s="55"/>
    </row>
    <row r="96" spans="1:28" ht="30" customHeight="1" x14ac:dyDescent="0.3">
      <c r="S96" s="55"/>
      <c r="T96" s="55"/>
      <c r="U96" s="55"/>
      <c r="V96" s="55"/>
      <c r="W96" s="55"/>
      <c r="X96" s="55"/>
    </row>
    <row r="97" spans="15:24" ht="30" customHeight="1" x14ac:dyDescent="0.3">
      <c r="S97" s="55"/>
      <c r="T97" s="55"/>
      <c r="U97" s="55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4urLnPKRhwOiyysmnUA9/Z4MGMa0J0Q/h0M+g5Cf9Pgr2ETGbCy3JPAD/Y7ctu2tTHmkKRMj1Od4MdNKWZv4zw==" saltValue="1Oekf2qpiITRpo1JRektyg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6:Z86"/>
    <mergeCell ref="S68:T68"/>
    <mergeCell ref="S70:T70"/>
    <mergeCell ref="Y76:AA76"/>
    <mergeCell ref="W77:W79"/>
    <mergeCell ref="Y79:Z79"/>
    <mergeCell ref="Y83:AA83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70" priority="10" operator="containsText" text="Change">
      <formula>NOT(ISERROR(SEARCH("Change",R1)))</formula>
    </cfRule>
  </conditionalFormatting>
  <conditionalFormatting sqref="R45:R48">
    <cfRule type="cellIs" dxfId="69" priority="7" operator="equal">
      <formula>"Send in Change Order"</formula>
    </cfRule>
  </conditionalFormatting>
  <conditionalFormatting sqref="W68">
    <cfRule type="cellIs" dxfId="68" priority="2" operator="notEqual">
      <formula>$E$82</formula>
    </cfRule>
    <cfRule type="cellIs" dxfId="67" priority="3" operator="greaterThan">
      <formula>$E$82</formula>
    </cfRule>
    <cfRule type="cellIs" dxfId="66" priority="4" operator="notEqual">
      <formula>$E$82</formula>
    </cfRule>
  </conditionalFormatting>
  <conditionalFormatting sqref="Z12:Z44">
    <cfRule type="cellIs" dxfId="65" priority="8" operator="lessThan">
      <formula>0</formula>
    </cfRule>
  </conditionalFormatting>
  <conditionalFormatting sqref="Z49:Z68">
    <cfRule type="cellIs" dxfId="64" priority="5" operator="lessThan">
      <formula>0</formula>
    </cfRule>
  </conditionalFormatting>
  <conditionalFormatting sqref="AA68">
    <cfRule type="cellIs" dxfId="63" priority="1" operator="notEqual">
      <formula>$O$82</formula>
    </cfRule>
  </conditionalFormatting>
  <conditionalFormatting sqref="AB1:AB1048576">
    <cfRule type="containsText" dxfId="62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6" manualBreakCount="6">
    <brk id="6" max="88" man="1"/>
    <brk id="10" max="1048575" man="1"/>
    <brk id="16" max="1048575" man="1"/>
    <brk id="18" max="1048575" man="1"/>
    <brk id="27" max="1048575" man="1"/>
    <brk id="29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20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21875" style="50" customWidth="1"/>
    <col min="19" max="19" width="6.109375" style="39" customWidth="1"/>
    <col min="20" max="20" width="30.77734375" style="39" customWidth="1"/>
    <col min="21" max="21" width="17.77734375" style="39" customWidth="1"/>
    <col min="22" max="27" width="18.88671875" style="39" customWidth="1"/>
    <col min="28" max="28" width="24.3320312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22</v>
      </c>
      <c r="B2" s="141"/>
      <c r="C2" s="142"/>
      <c r="E2" s="144">
        <f>'Project Info'!C7</f>
        <v>0</v>
      </c>
      <c r="F2" s="41"/>
      <c r="G2" s="194"/>
      <c r="K2" s="143" t="s">
        <v>125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53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42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53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53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195" t="s">
        <v>35</v>
      </c>
      <c r="H6" s="196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55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197">
        <f>S12</f>
        <v>1</v>
      </c>
      <c r="H7" s="198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197">
        <f t="shared" ref="G8:I23" si="0">S13</f>
        <v>2</v>
      </c>
      <c r="H8" s="198" t="str">
        <f t="shared" si="0"/>
        <v>General Contract</v>
      </c>
      <c r="I8" s="247">
        <f t="shared" si="0"/>
        <v>0</v>
      </c>
      <c r="K8" s="152"/>
      <c r="L8" s="157"/>
      <c r="M8" s="157"/>
      <c r="N8" s="154"/>
      <c r="O8" s="155"/>
      <c r="P8" s="158"/>
      <c r="S8" s="66"/>
      <c r="T8" s="67"/>
      <c r="U8" s="68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197">
        <f t="shared" si="0"/>
        <v>3</v>
      </c>
      <c r="H9" s="198" t="str">
        <f t="shared" si="0"/>
        <v>Architect Contract</v>
      </c>
      <c r="I9" s="247">
        <f t="shared" si="0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74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42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197">
        <f t="shared" si="0"/>
        <v>4</v>
      </c>
      <c r="H10" s="198" t="str">
        <f t="shared" si="0"/>
        <v>Architect Reimbursables</v>
      </c>
      <c r="I10" s="247">
        <f t="shared" si="0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197">
        <f t="shared" si="0"/>
        <v>5</v>
      </c>
      <c r="H11" s="198" t="str">
        <f t="shared" si="0"/>
        <v>Other Contracts</v>
      </c>
      <c r="I11" s="247">
        <f t="shared" si="0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80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197">
        <f t="shared" si="0"/>
        <v>6</v>
      </c>
      <c r="H12" s="198" t="str">
        <f t="shared" si="0"/>
        <v>Other Contracts</v>
      </c>
      <c r="I12" s="247">
        <f t="shared" si="0"/>
        <v>0</v>
      </c>
      <c r="K12" s="152"/>
      <c r="L12" s="157"/>
      <c r="M12" s="157"/>
      <c r="N12" s="154"/>
      <c r="O12" s="155"/>
      <c r="P12" s="158"/>
      <c r="R12" s="50" t="str">
        <f>IF(V12='Request #41'!V12,"OK","Send in Change Order")</f>
        <v>OK</v>
      </c>
      <c r="S12" s="85">
        <v>1</v>
      </c>
      <c r="T12" s="86" t="str">
        <f>'Request #35'!T12</f>
        <v>Land/Site Grading &amp; Improv.</v>
      </c>
      <c r="U12" s="218">
        <f>'Request #41'!U12</f>
        <v>0</v>
      </c>
      <c r="V12" s="87">
        <f>'Request #41'!V12</f>
        <v>0</v>
      </c>
      <c r="W12" s="88">
        <f>SUMIF(F7:F79,1,E7:E79)</f>
        <v>0</v>
      </c>
      <c r="X12" s="88">
        <f>'Request #41'!Y12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#41'!AA12,"OK","Alert,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197">
        <f t="shared" si="0"/>
        <v>7</v>
      </c>
      <c r="H13" s="198" t="str">
        <f t="shared" si="0"/>
        <v>Other Contracts</v>
      </c>
      <c r="I13" s="247">
        <f t="shared" si="0"/>
        <v>0</v>
      </c>
      <c r="K13" s="152"/>
      <c r="L13" s="157"/>
      <c r="M13" s="157"/>
      <c r="N13" s="154"/>
      <c r="O13" s="155"/>
      <c r="P13" s="158"/>
      <c r="R13" s="50" t="str">
        <f>IF(V13='Request #41'!V13,"OK","Send in Change Order")</f>
        <v>OK</v>
      </c>
      <c r="S13" s="85">
        <v>2</v>
      </c>
      <c r="T13" s="86" t="s">
        <v>122</v>
      </c>
      <c r="U13" s="218">
        <f>'Request #41'!U13</f>
        <v>0</v>
      </c>
      <c r="V13" s="87">
        <f>'Request #41'!V13</f>
        <v>0</v>
      </c>
      <c r="W13" s="88">
        <f>SUMIF(F7:F79,2,E7:E79)</f>
        <v>0</v>
      </c>
      <c r="X13" s="88">
        <f>'Request #41'!Y13</f>
        <v>0</v>
      </c>
      <c r="Y13" s="88">
        <f t="shared" ref="Y13:Y67" si="1">W13+X13</f>
        <v>0</v>
      </c>
      <c r="Z13" s="88">
        <f t="shared" ref="Z13:Z67" si="2">V13-Y13</f>
        <v>0</v>
      </c>
      <c r="AA13" s="88">
        <f>SUMIF(P7:P79,2,O7:O79)</f>
        <v>0</v>
      </c>
      <c r="AB13" s="50" t="str">
        <f>IF(W13&gt;='Request #41'!AA13,"OK","Alert,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197">
        <f t="shared" si="0"/>
        <v>8</v>
      </c>
      <c r="H14" s="198" t="str">
        <f t="shared" si="0"/>
        <v>Other Contracts</v>
      </c>
      <c r="I14" s="247">
        <f t="shared" si="0"/>
        <v>0</v>
      </c>
      <c r="K14" s="159"/>
      <c r="L14" s="157"/>
      <c r="M14" s="157"/>
      <c r="N14" s="154"/>
      <c r="O14" s="155"/>
      <c r="P14" s="158"/>
      <c r="R14" s="50" t="str">
        <f>IF(V14='Request #41'!V14,"OK","Send in Change Order")</f>
        <v>OK</v>
      </c>
      <c r="S14" s="85">
        <v>3</v>
      </c>
      <c r="T14" s="86" t="s">
        <v>123</v>
      </c>
      <c r="U14" s="218">
        <f>'Request #41'!U14</f>
        <v>0</v>
      </c>
      <c r="V14" s="87">
        <f>'Request #41'!V14</f>
        <v>0</v>
      </c>
      <c r="W14" s="88">
        <f>SUMIF(F7:F79,3,E7:E79)</f>
        <v>0</v>
      </c>
      <c r="X14" s="88">
        <f>'Request #41'!Y14</f>
        <v>0</v>
      </c>
      <c r="Y14" s="88">
        <f t="shared" si="1"/>
        <v>0</v>
      </c>
      <c r="Z14" s="88">
        <f t="shared" si="2"/>
        <v>0</v>
      </c>
      <c r="AA14" s="88">
        <f>SUMIF(P7:P79,3,O7:O79)</f>
        <v>0</v>
      </c>
      <c r="AB14" s="50" t="str">
        <f>IF(W14&gt;='Request #41'!AA14,"OK","Alert,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197">
        <f t="shared" si="0"/>
        <v>9</v>
      </c>
      <c r="H15" s="198" t="str">
        <f t="shared" si="0"/>
        <v>Other Contracts</v>
      </c>
      <c r="I15" s="247">
        <f t="shared" si="0"/>
        <v>0</v>
      </c>
      <c r="K15" s="159"/>
      <c r="L15" s="157"/>
      <c r="M15" s="157"/>
      <c r="N15" s="154"/>
      <c r="O15" s="155"/>
      <c r="P15" s="158"/>
      <c r="R15" s="50" t="str">
        <f>IF(V15='Request #41'!V15,"OK","Send in Change Order")</f>
        <v>OK</v>
      </c>
      <c r="S15" s="85">
        <v>4</v>
      </c>
      <c r="T15" s="86" t="s">
        <v>124</v>
      </c>
      <c r="U15" s="218">
        <f>'Request #41'!U15</f>
        <v>0</v>
      </c>
      <c r="V15" s="87">
        <f>'Request #41'!V15</f>
        <v>0</v>
      </c>
      <c r="W15" s="88">
        <f>SUMIF(F7:F79,4,E7:E79)</f>
        <v>0</v>
      </c>
      <c r="X15" s="88">
        <f>'Request #41'!Y15</f>
        <v>0</v>
      </c>
      <c r="Y15" s="88">
        <f t="shared" si="1"/>
        <v>0</v>
      </c>
      <c r="Z15" s="88">
        <f t="shared" si="2"/>
        <v>0</v>
      </c>
      <c r="AA15" s="88">
        <f>SUMIF(P7:P79,4,O7:O79)</f>
        <v>0</v>
      </c>
      <c r="AB15" s="50" t="str">
        <f>IF(W15&gt;='Request #41'!AA15,"OK","Alert,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197">
        <f t="shared" si="0"/>
        <v>10</v>
      </c>
      <c r="H16" s="198" t="str">
        <f t="shared" si="0"/>
        <v>Other Contracts</v>
      </c>
      <c r="I16" s="247">
        <f t="shared" si="0"/>
        <v>0</v>
      </c>
      <c r="K16" s="152"/>
      <c r="L16" s="157"/>
      <c r="M16" s="157"/>
      <c r="N16" s="154"/>
      <c r="O16" s="155"/>
      <c r="P16" s="158"/>
      <c r="R16" s="50" t="str">
        <f>IF(V16='Request #41'!V16,"OK","Send in Change Order")</f>
        <v>OK</v>
      </c>
      <c r="S16" s="85">
        <v>5</v>
      </c>
      <c r="T16" s="86" t="s">
        <v>71</v>
      </c>
      <c r="U16" s="218">
        <f>'Request #41'!U16</f>
        <v>0</v>
      </c>
      <c r="V16" s="87">
        <f>'Request #41'!V16</f>
        <v>0</v>
      </c>
      <c r="W16" s="88">
        <f>SUMIF(F7:F79,5,E7:E79)</f>
        <v>0</v>
      </c>
      <c r="X16" s="88">
        <f>'Request #41'!Y16</f>
        <v>0</v>
      </c>
      <c r="Y16" s="88">
        <f t="shared" si="1"/>
        <v>0</v>
      </c>
      <c r="Z16" s="88">
        <f t="shared" si="2"/>
        <v>0</v>
      </c>
      <c r="AA16" s="88">
        <f>SUMIF(P7:P79,5,O7:O79)</f>
        <v>0</v>
      </c>
      <c r="AB16" s="50" t="str">
        <f>IF(W16&gt;='Request #41'!AA16,"OK","Alert,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197">
        <f t="shared" si="0"/>
        <v>11</v>
      </c>
      <c r="H17" s="198" t="str">
        <f t="shared" si="0"/>
        <v>Other Contracts</v>
      </c>
      <c r="I17" s="247">
        <f t="shared" si="0"/>
        <v>0</v>
      </c>
      <c r="K17" s="152"/>
      <c r="L17" s="157"/>
      <c r="M17" s="157"/>
      <c r="N17" s="154"/>
      <c r="O17" s="155"/>
      <c r="P17" s="158"/>
      <c r="R17" s="50" t="str">
        <f>IF(V17='Request #41'!V17,"OK","Send in Change Order")</f>
        <v>OK</v>
      </c>
      <c r="S17" s="85">
        <v>6</v>
      </c>
      <c r="T17" s="86" t="s">
        <v>71</v>
      </c>
      <c r="U17" s="218">
        <f>'Request #41'!U17</f>
        <v>0</v>
      </c>
      <c r="V17" s="87">
        <f>'Request #41'!V17</f>
        <v>0</v>
      </c>
      <c r="W17" s="88">
        <f>SUMIF(F7:F79,6,E7:E79)</f>
        <v>0</v>
      </c>
      <c r="X17" s="88">
        <f>'Request #41'!Y17</f>
        <v>0</v>
      </c>
      <c r="Y17" s="88">
        <f t="shared" si="1"/>
        <v>0</v>
      </c>
      <c r="Z17" s="88">
        <f t="shared" si="2"/>
        <v>0</v>
      </c>
      <c r="AA17" s="88">
        <f>SUMIF(P7:P79,6,O7:O79)</f>
        <v>0</v>
      </c>
      <c r="AB17" s="50" t="str">
        <f>IF(W17&gt;='Request #41'!AA17,"OK","Alert,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197">
        <f t="shared" si="0"/>
        <v>12</v>
      </c>
      <c r="H18" s="198" t="str">
        <f t="shared" si="0"/>
        <v>Other Contracts</v>
      </c>
      <c r="I18" s="247">
        <f t="shared" si="0"/>
        <v>0</v>
      </c>
      <c r="K18" s="152"/>
      <c r="L18" s="157"/>
      <c r="M18" s="157"/>
      <c r="N18" s="154"/>
      <c r="O18" s="155"/>
      <c r="P18" s="158"/>
      <c r="R18" s="50" t="str">
        <f>IF(V18='Request #41'!V18,"OK","Send in Change Order")</f>
        <v>OK</v>
      </c>
      <c r="S18" s="85">
        <v>7</v>
      </c>
      <c r="T18" s="86" t="s">
        <v>71</v>
      </c>
      <c r="U18" s="218">
        <f>'Request #41'!U18</f>
        <v>0</v>
      </c>
      <c r="V18" s="87">
        <f>'Request #41'!V18</f>
        <v>0</v>
      </c>
      <c r="W18" s="88">
        <f>SUMIF(F7:F79,7,E7:E79)</f>
        <v>0</v>
      </c>
      <c r="X18" s="88">
        <f>'Request #41'!Y18</f>
        <v>0</v>
      </c>
      <c r="Y18" s="88">
        <f t="shared" si="1"/>
        <v>0</v>
      </c>
      <c r="Z18" s="88">
        <f t="shared" si="2"/>
        <v>0</v>
      </c>
      <c r="AA18" s="88">
        <f>SUMIF(P7:P79,7,O7:O79)</f>
        <v>0</v>
      </c>
      <c r="AB18" s="50" t="str">
        <f>IF(W18&gt;='Request #41'!AA18,"OK","Alert,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197">
        <f t="shared" si="0"/>
        <v>13</v>
      </c>
      <c r="H19" s="198" t="str">
        <f t="shared" si="0"/>
        <v>Other Contracts</v>
      </c>
      <c r="I19" s="247">
        <f t="shared" si="0"/>
        <v>0</v>
      </c>
      <c r="K19" s="159"/>
      <c r="L19" s="157"/>
      <c r="M19" s="157"/>
      <c r="N19" s="154"/>
      <c r="O19" s="155"/>
      <c r="P19" s="158"/>
      <c r="R19" s="50" t="str">
        <f>IF(V19='Request #41'!V19,"OK","Send in Change Order")</f>
        <v>OK</v>
      </c>
      <c r="S19" s="85">
        <v>8</v>
      </c>
      <c r="T19" s="86" t="s">
        <v>71</v>
      </c>
      <c r="U19" s="218">
        <f>'Request #41'!U19</f>
        <v>0</v>
      </c>
      <c r="V19" s="87">
        <f>'Request #41'!V19</f>
        <v>0</v>
      </c>
      <c r="W19" s="88">
        <f>SUMIF(F7:F79,8,E7:E79)</f>
        <v>0</v>
      </c>
      <c r="X19" s="88">
        <f>'Request #41'!Y19</f>
        <v>0</v>
      </c>
      <c r="Y19" s="88">
        <f t="shared" si="1"/>
        <v>0</v>
      </c>
      <c r="Z19" s="88">
        <f t="shared" si="2"/>
        <v>0</v>
      </c>
      <c r="AA19" s="88">
        <f>SUMIF(P7:P79,8,O7:O79)</f>
        <v>0</v>
      </c>
      <c r="AB19" s="50" t="str">
        <f>IF(W19&gt;='Request #41'!AA19,"OK","Alert,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197">
        <f t="shared" si="0"/>
        <v>14</v>
      </c>
      <c r="H20" s="198" t="str">
        <f t="shared" si="0"/>
        <v>Other Contracts</v>
      </c>
      <c r="I20" s="247">
        <f t="shared" si="0"/>
        <v>0</v>
      </c>
      <c r="K20" s="152"/>
      <c r="L20" s="157"/>
      <c r="M20" s="157"/>
      <c r="N20" s="154"/>
      <c r="O20" s="155"/>
      <c r="P20" s="158"/>
      <c r="R20" s="50" t="str">
        <f>IF(V20='Request #41'!V20,"OK","Send in Change Order")</f>
        <v>OK</v>
      </c>
      <c r="S20" s="85">
        <v>9</v>
      </c>
      <c r="T20" s="86" t="s">
        <v>71</v>
      </c>
      <c r="U20" s="218">
        <f>'Request #41'!U20</f>
        <v>0</v>
      </c>
      <c r="V20" s="87">
        <f>'Request #41'!V20</f>
        <v>0</v>
      </c>
      <c r="W20" s="88">
        <f>SUMIF(F7:F79,9,E7:E79)</f>
        <v>0</v>
      </c>
      <c r="X20" s="88">
        <f>'Request #41'!Y20</f>
        <v>0</v>
      </c>
      <c r="Y20" s="88">
        <f t="shared" si="1"/>
        <v>0</v>
      </c>
      <c r="Z20" s="88">
        <f t="shared" si="2"/>
        <v>0</v>
      </c>
      <c r="AA20" s="88">
        <f>SUMIF(P7:P79,9,O7:O79)</f>
        <v>0</v>
      </c>
      <c r="AB20" s="50" t="str">
        <f>IF(W20&gt;='Request #41'!AA20,"OK","Alert,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197">
        <f t="shared" si="0"/>
        <v>15</v>
      </c>
      <c r="H21" s="198" t="str">
        <f t="shared" si="0"/>
        <v>Other Contracts</v>
      </c>
      <c r="I21" s="247">
        <f t="shared" si="0"/>
        <v>0</v>
      </c>
      <c r="K21" s="159"/>
      <c r="L21" s="157"/>
      <c r="M21" s="157"/>
      <c r="N21" s="154"/>
      <c r="O21" s="155"/>
      <c r="P21" s="158"/>
      <c r="R21" s="50" t="str">
        <f>IF(V21='Request #41'!V21,"OK","Send in Change Order")</f>
        <v>OK</v>
      </c>
      <c r="S21" s="85">
        <v>10</v>
      </c>
      <c r="T21" s="86" t="s">
        <v>71</v>
      </c>
      <c r="U21" s="218">
        <f>'Request #41'!U21</f>
        <v>0</v>
      </c>
      <c r="V21" s="87">
        <f>'Request #41'!V21</f>
        <v>0</v>
      </c>
      <c r="W21" s="88">
        <f>SUMIF(F7:F79,10,E7:E79)</f>
        <v>0</v>
      </c>
      <c r="X21" s="88">
        <f>'Request #41'!Y21</f>
        <v>0</v>
      </c>
      <c r="Y21" s="88">
        <f t="shared" si="1"/>
        <v>0</v>
      </c>
      <c r="Z21" s="88">
        <f t="shared" si="2"/>
        <v>0</v>
      </c>
      <c r="AA21" s="88">
        <f>SUMIF(P7:P79,10,O7:O79)</f>
        <v>0</v>
      </c>
      <c r="AB21" s="50" t="str">
        <f>IF(W21&gt;='Request #41'!AA21,"OK","Alert,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197">
        <f t="shared" si="0"/>
        <v>16</v>
      </c>
      <c r="H22" s="198" t="str">
        <f t="shared" si="0"/>
        <v>Other Contracts</v>
      </c>
      <c r="I22" s="247">
        <f t="shared" si="0"/>
        <v>0</v>
      </c>
      <c r="K22" s="159"/>
      <c r="L22" s="157"/>
      <c r="M22" s="157"/>
      <c r="N22" s="154"/>
      <c r="O22" s="155"/>
      <c r="P22" s="158"/>
      <c r="R22" s="50" t="str">
        <f>IF(V22='Request #41'!V22,"OK","Send in Change Order")</f>
        <v>OK</v>
      </c>
      <c r="S22" s="85">
        <v>11</v>
      </c>
      <c r="T22" s="86" t="s">
        <v>71</v>
      </c>
      <c r="U22" s="218">
        <f>'Request #41'!U22</f>
        <v>0</v>
      </c>
      <c r="V22" s="87">
        <f>'Request #41'!V22</f>
        <v>0</v>
      </c>
      <c r="W22" s="88">
        <f>SUMIF(F7:F79,11,E7:E79)</f>
        <v>0</v>
      </c>
      <c r="X22" s="88">
        <f>'Request #41'!Y22</f>
        <v>0</v>
      </c>
      <c r="Y22" s="88">
        <f t="shared" si="1"/>
        <v>0</v>
      </c>
      <c r="Z22" s="88">
        <f t="shared" si="2"/>
        <v>0</v>
      </c>
      <c r="AA22" s="88">
        <f>SUMIF(P7:P79,11,O7:O79)</f>
        <v>0</v>
      </c>
      <c r="AB22" s="50" t="str">
        <f>IF(W22&gt;='Request #41'!AA22,"OK","Alert,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197">
        <f t="shared" si="0"/>
        <v>17</v>
      </c>
      <c r="H23" s="198" t="str">
        <f t="shared" si="0"/>
        <v>Other Contracts</v>
      </c>
      <c r="I23" s="247">
        <f t="shared" si="0"/>
        <v>0</v>
      </c>
      <c r="K23" s="159"/>
      <c r="L23" s="157"/>
      <c r="M23" s="157"/>
      <c r="N23" s="154"/>
      <c r="O23" s="155"/>
      <c r="P23" s="158"/>
      <c r="R23" s="50" t="str">
        <f>IF(V23='Request #41'!V23,"OK","Send in Change Order")</f>
        <v>OK</v>
      </c>
      <c r="S23" s="85">
        <v>12</v>
      </c>
      <c r="T23" s="86" t="s">
        <v>71</v>
      </c>
      <c r="U23" s="218">
        <f>'Request #41'!U23</f>
        <v>0</v>
      </c>
      <c r="V23" s="87">
        <f>'Request #41'!V23</f>
        <v>0</v>
      </c>
      <c r="W23" s="88">
        <f>SUMIF(F7:F79,12,E7:E79)</f>
        <v>0</v>
      </c>
      <c r="X23" s="88">
        <f>'Request #41'!Y23</f>
        <v>0</v>
      </c>
      <c r="Y23" s="88">
        <f t="shared" si="1"/>
        <v>0</v>
      </c>
      <c r="Z23" s="88">
        <f t="shared" si="2"/>
        <v>0</v>
      </c>
      <c r="AA23" s="88">
        <f>SUMIF(P7:P79,12,O7:O79)</f>
        <v>0</v>
      </c>
      <c r="AB23" s="50" t="str">
        <f>IF(W23&gt;='Request #41'!AA23,"OK","Alert,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197">
        <f t="shared" ref="G24:I39" si="3">S29</f>
        <v>18</v>
      </c>
      <c r="H24" s="198" t="str">
        <f t="shared" si="3"/>
        <v>Other Contracts</v>
      </c>
      <c r="I24" s="247">
        <f t="shared" si="3"/>
        <v>0</v>
      </c>
      <c r="K24" s="159"/>
      <c r="L24" s="157"/>
      <c r="M24" s="157"/>
      <c r="N24" s="154"/>
      <c r="O24" s="155"/>
      <c r="P24" s="158"/>
      <c r="R24" s="50" t="str">
        <f>IF(V24='Request #41'!V24,"OK","Send in Change Order")</f>
        <v>OK</v>
      </c>
      <c r="S24" s="85">
        <v>13</v>
      </c>
      <c r="T24" s="86" t="s">
        <v>71</v>
      </c>
      <c r="U24" s="218">
        <f>'Request #41'!U24</f>
        <v>0</v>
      </c>
      <c r="V24" s="87">
        <f>'Request #41'!V24</f>
        <v>0</v>
      </c>
      <c r="W24" s="88">
        <f>SUMIF(F7:F79,13,E7:E79)</f>
        <v>0</v>
      </c>
      <c r="X24" s="88">
        <f>'Request #41'!Y24</f>
        <v>0</v>
      </c>
      <c r="Y24" s="88">
        <f t="shared" si="1"/>
        <v>0</v>
      </c>
      <c r="Z24" s="88">
        <f t="shared" si="2"/>
        <v>0</v>
      </c>
      <c r="AA24" s="88">
        <f>SUMIF(P7:P79,13,O7:O79)</f>
        <v>0</v>
      </c>
      <c r="AB24" s="50" t="str">
        <f>IF(W24&gt;='Request #41'!AA24,"OK","Alert,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197">
        <f t="shared" si="3"/>
        <v>19</v>
      </c>
      <c r="H25" s="198" t="str">
        <f t="shared" si="3"/>
        <v>Other Contracts</v>
      </c>
      <c r="I25" s="247">
        <f t="shared" si="3"/>
        <v>0</v>
      </c>
      <c r="K25" s="159"/>
      <c r="L25" s="157"/>
      <c r="M25" s="157"/>
      <c r="N25" s="154"/>
      <c r="O25" s="155"/>
      <c r="P25" s="158"/>
      <c r="R25" s="50" t="str">
        <f>IF(V25='Request #41'!V25,"OK","Send in Change Order")</f>
        <v>OK</v>
      </c>
      <c r="S25" s="85">
        <v>14</v>
      </c>
      <c r="T25" s="86" t="s">
        <v>71</v>
      </c>
      <c r="U25" s="218">
        <f>'Request #41'!U25</f>
        <v>0</v>
      </c>
      <c r="V25" s="87">
        <f>'Request #41'!V25</f>
        <v>0</v>
      </c>
      <c r="W25" s="88">
        <f>SUMIF(F7:F79,14,E7:E79)</f>
        <v>0</v>
      </c>
      <c r="X25" s="88">
        <f>'Request #41'!Y25</f>
        <v>0</v>
      </c>
      <c r="Y25" s="88">
        <f t="shared" si="1"/>
        <v>0</v>
      </c>
      <c r="Z25" s="88">
        <f t="shared" si="2"/>
        <v>0</v>
      </c>
      <c r="AA25" s="88">
        <f>SUMIF(P7:P79,14,O7:O79)</f>
        <v>0</v>
      </c>
      <c r="AB25" s="50" t="str">
        <f>IF(W25&gt;='Request #41'!AA25,"OK","Alert,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197">
        <f t="shared" si="3"/>
        <v>20</v>
      </c>
      <c r="H26" s="198" t="str">
        <f t="shared" si="3"/>
        <v>Other Contracts</v>
      </c>
      <c r="I26" s="247">
        <f t="shared" si="3"/>
        <v>0</v>
      </c>
      <c r="K26" s="159"/>
      <c r="L26" s="157"/>
      <c r="M26" s="157"/>
      <c r="N26" s="154"/>
      <c r="O26" s="155"/>
      <c r="P26" s="158"/>
      <c r="R26" s="50" t="str">
        <f>IF(V26='Request #41'!V26,"OK","Send in Change Order")</f>
        <v>OK</v>
      </c>
      <c r="S26" s="85">
        <v>15</v>
      </c>
      <c r="T26" s="86" t="s">
        <v>71</v>
      </c>
      <c r="U26" s="218">
        <f>'Request #41'!U26</f>
        <v>0</v>
      </c>
      <c r="V26" s="87">
        <f>'Request #41'!V26</f>
        <v>0</v>
      </c>
      <c r="W26" s="88">
        <f>SUMIF(F7:F79,15,E7:E79)</f>
        <v>0</v>
      </c>
      <c r="X26" s="88">
        <f>'Request #41'!Y26</f>
        <v>0</v>
      </c>
      <c r="Y26" s="88">
        <f t="shared" si="1"/>
        <v>0</v>
      </c>
      <c r="Z26" s="88">
        <f t="shared" si="2"/>
        <v>0</v>
      </c>
      <c r="AA26" s="88">
        <f>SUMIF(P7:P79,15,O7:O79)</f>
        <v>0</v>
      </c>
      <c r="AB26" s="50" t="str">
        <f>IF(W26&gt;='Request #41'!AA26,"OK","Alert,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197">
        <f t="shared" si="3"/>
        <v>21</v>
      </c>
      <c r="H27" s="198" t="str">
        <f t="shared" si="3"/>
        <v>Other Contracts</v>
      </c>
      <c r="I27" s="247">
        <f t="shared" si="3"/>
        <v>0</v>
      </c>
      <c r="K27" s="159"/>
      <c r="L27" s="157"/>
      <c r="M27" s="157"/>
      <c r="N27" s="154"/>
      <c r="O27" s="155"/>
      <c r="P27" s="158"/>
      <c r="R27" s="50" t="str">
        <f>IF(V27='Request #41'!V27,"OK","Send in Change Order")</f>
        <v>OK</v>
      </c>
      <c r="S27" s="85">
        <v>16</v>
      </c>
      <c r="T27" s="86" t="s">
        <v>71</v>
      </c>
      <c r="U27" s="218">
        <f>'Request #41'!U27</f>
        <v>0</v>
      </c>
      <c r="V27" s="87">
        <f>'Request #41'!V27</f>
        <v>0</v>
      </c>
      <c r="W27" s="88">
        <f>SUMIF(F7:F79,16,E7:E79)</f>
        <v>0</v>
      </c>
      <c r="X27" s="88">
        <f>'Request #41'!Y27</f>
        <v>0</v>
      </c>
      <c r="Y27" s="88">
        <f t="shared" si="1"/>
        <v>0</v>
      </c>
      <c r="Z27" s="88">
        <f t="shared" si="2"/>
        <v>0</v>
      </c>
      <c r="AA27" s="88">
        <f>SUMIF(P7:P79,16,O7:O79)</f>
        <v>0</v>
      </c>
      <c r="AB27" s="50" t="str">
        <f>IF(W27&gt;='Request #41'!AA27,"OK","Alert,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197">
        <f t="shared" si="3"/>
        <v>22</v>
      </c>
      <c r="H28" s="198" t="str">
        <f t="shared" si="3"/>
        <v>Other Contracts</v>
      </c>
      <c r="I28" s="247">
        <f t="shared" si="3"/>
        <v>0</v>
      </c>
      <c r="K28" s="159"/>
      <c r="L28" s="157"/>
      <c r="M28" s="157"/>
      <c r="N28" s="154"/>
      <c r="O28" s="155"/>
      <c r="P28" s="158"/>
      <c r="R28" s="50" t="str">
        <f>IF(V28='Request #41'!V28,"OK","Send in Change Order")</f>
        <v>OK</v>
      </c>
      <c r="S28" s="85">
        <v>17</v>
      </c>
      <c r="T28" s="86" t="s">
        <v>71</v>
      </c>
      <c r="U28" s="218">
        <f>'Request #41'!U28</f>
        <v>0</v>
      </c>
      <c r="V28" s="87">
        <f>'Request #41'!V28</f>
        <v>0</v>
      </c>
      <c r="W28" s="88">
        <f>SUMIF(F7:F79,17,E7:E79)</f>
        <v>0</v>
      </c>
      <c r="X28" s="88">
        <f>'Request #41'!Y28</f>
        <v>0</v>
      </c>
      <c r="Y28" s="88">
        <f t="shared" si="1"/>
        <v>0</v>
      </c>
      <c r="Z28" s="88">
        <f t="shared" si="2"/>
        <v>0</v>
      </c>
      <c r="AA28" s="88">
        <f>SUMIF(P7:P79,17,O7:O79)</f>
        <v>0</v>
      </c>
      <c r="AB28" s="50" t="str">
        <f>IF(W28&gt;='Request #41'!AA28,"OK","Alert,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197">
        <f t="shared" si="3"/>
        <v>23</v>
      </c>
      <c r="H29" s="198" t="str">
        <f t="shared" si="3"/>
        <v>Other Contracts</v>
      </c>
      <c r="I29" s="247">
        <f t="shared" si="3"/>
        <v>0</v>
      </c>
      <c r="K29" s="159"/>
      <c r="L29" s="157"/>
      <c r="M29" s="157"/>
      <c r="N29" s="154"/>
      <c r="O29" s="155"/>
      <c r="P29" s="158"/>
      <c r="R29" s="50" t="str">
        <f>IF(V29='Request #41'!V29,"OK","Send in Change Order")</f>
        <v>OK</v>
      </c>
      <c r="S29" s="85">
        <v>18</v>
      </c>
      <c r="T29" s="86" t="s">
        <v>71</v>
      </c>
      <c r="U29" s="218">
        <f>'Request #41'!U29</f>
        <v>0</v>
      </c>
      <c r="V29" s="87">
        <f>'Request #41'!V29</f>
        <v>0</v>
      </c>
      <c r="W29" s="88">
        <f>SUMIF(F7:F79,18,E7:E79)</f>
        <v>0</v>
      </c>
      <c r="X29" s="88">
        <f>'Request #41'!Y29</f>
        <v>0</v>
      </c>
      <c r="Y29" s="88">
        <f t="shared" si="1"/>
        <v>0</v>
      </c>
      <c r="Z29" s="88">
        <f t="shared" si="2"/>
        <v>0</v>
      </c>
      <c r="AA29" s="88">
        <f>SUMIF(P7:P79,18,O7:O79)</f>
        <v>0</v>
      </c>
      <c r="AB29" s="50" t="str">
        <f>IF(W29&gt;='Request #41'!AA29,"OK","Alert,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197">
        <f t="shared" si="3"/>
        <v>24</v>
      </c>
      <c r="H30" s="198" t="str">
        <f t="shared" si="3"/>
        <v>Other Contracts</v>
      </c>
      <c r="I30" s="247">
        <f t="shared" si="3"/>
        <v>0</v>
      </c>
      <c r="K30" s="159"/>
      <c r="L30" s="157"/>
      <c r="M30" s="157"/>
      <c r="N30" s="154"/>
      <c r="O30" s="155"/>
      <c r="P30" s="158"/>
      <c r="R30" s="50" t="str">
        <f>IF(V30='Request #41'!V30,"OK","Send in Change Order")</f>
        <v>OK</v>
      </c>
      <c r="S30" s="85">
        <v>19</v>
      </c>
      <c r="T30" s="86" t="s">
        <v>71</v>
      </c>
      <c r="U30" s="218">
        <f>'Request #41'!U30</f>
        <v>0</v>
      </c>
      <c r="V30" s="87">
        <f>'Request #41'!V30</f>
        <v>0</v>
      </c>
      <c r="W30" s="88">
        <f>SUMIF(F7:F79,19,E7:E79)</f>
        <v>0</v>
      </c>
      <c r="X30" s="88">
        <f>'Request #41'!Y30</f>
        <v>0</v>
      </c>
      <c r="Y30" s="88">
        <f t="shared" si="1"/>
        <v>0</v>
      </c>
      <c r="Z30" s="88">
        <f t="shared" si="2"/>
        <v>0</v>
      </c>
      <c r="AA30" s="88">
        <f>SUMIF(P7:P79,19,O7:O79)</f>
        <v>0</v>
      </c>
      <c r="AB30" s="50" t="str">
        <f>IF(W30&gt;='Request #41'!AA30,"OK","Alert,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197">
        <f t="shared" si="3"/>
        <v>25</v>
      </c>
      <c r="H31" s="198" t="str">
        <f t="shared" si="3"/>
        <v>Other Contracts</v>
      </c>
      <c r="I31" s="247">
        <f t="shared" si="3"/>
        <v>0</v>
      </c>
      <c r="K31" s="159"/>
      <c r="L31" s="157"/>
      <c r="M31" s="157"/>
      <c r="N31" s="154"/>
      <c r="O31" s="155"/>
      <c r="P31" s="158"/>
      <c r="R31" s="50" t="str">
        <f>IF(V31='Request #41'!V31,"OK","Send in Change Order")</f>
        <v>OK</v>
      </c>
      <c r="S31" s="85">
        <v>20</v>
      </c>
      <c r="T31" s="86" t="s">
        <v>71</v>
      </c>
      <c r="U31" s="218">
        <f>'Request #41'!U31</f>
        <v>0</v>
      </c>
      <c r="V31" s="87">
        <f>'Request #41'!V31</f>
        <v>0</v>
      </c>
      <c r="W31" s="88">
        <f>SUMIF(F7:F79,20,E7:E79)</f>
        <v>0</v>
      </c>
      <c r="X31" s="88">
        <f>'Request #41'!Y31</f>
        <v>0</v>
      </c>
      <c r="Y31" s="88">
        <f t="shared" si="1"/>
        <v>0</v>
      </c>
      <c r="Z31" s="88">
        <f t="shared" si="2"/>
        <v>0</v>
      </c>
      <c r="AA31" s="88">
        <f>SUMIF(P7:P79,20,O7:O79)</f>
        <v>0</v>
      </c>
      <c r="AB31" s="50" t="str">
        <f>IF(W31&gt;='Request #41'!AA31,"OK","Alert,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197">
        <f t="shared" si="3"/>
        <v>26</v>
      </c>
      <c r="H32" s="198" t="str">
        <f t="shared" si="3"/>
        <v>Other Fees</v>
      </c>
      <c r="I32" s="247">
        <f t="shared" si="3"/>
        <v>0</v>
      </c>
      <c r="K32" s="159"/>
      <c r="L32" s="157"/>
      <c r="M32" s="157"/>
      <c r="N32" s="154"/>
      <c r="O32" s="155"/>
      <c r="P32" s="158"/>
      <c r="R32" s="50" t="str">
        <f>IF(V32='Request #41'!V32,"OK","Send in Change Order")</f>
        <v>OK</v>
      </c>
      <c r="S32" s="85">
        <v>21</v>
      </c>
      <c r="T32" s="86" t="s">
        <v>71</v>
      </c>
      <c r="U32" s="218">
        <f>'Request #41'!U32</f>
        <v>0</v>
      </c>
      <c r="V32" s="87">
        <f>'Request #41'!V32</f>
        <v>0</v>
      </c>
      <c r="W32" s="88">
        <f>SUMIF(F7:F79,21,E7:E79)</f>
        <v>0</v>
      </c>
      <c r="X32" s="88">
        <f>'Request #41'!Y32</f>
        <v>0</v>
      </c>
      <c r="Y32" s="88">
        <f t="shared" si="1"/>
        <v>0</v>
      </c>
      <c r="Z32" s="88">
        <f t="shared" si="2"/>
        <v>0</v>
      </c>
      <c r="AA32" s="88">
        <f>SUMIF(P7:P79,21,O7:O79)</f>
        <v>0</v>
      </c>
      <c r="AB32" s="50" t="str">
        <f>IF(W32&gt;='Request #41'!AA32,"OK","Alert,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197">
        <f t="shared" si="3"/>
        <v>27</v>
      </c>
      <c r="H33" s="198" t="str">
        <f t="shared" si="3"/>
        <v>Other Fees</v>
      </c>
      <c r="I33" s="247">
        <f t="shared" si="3"/>
        <v>0</v>
      </c>
      <c r="K33" s="159"/>
      <c r="L33" s="157"/>
      <c r="M33" s="157"/>
      <c r="N33" s="154"/>
      <c r="O33" s="155"/>
      <c r="P33" s="158"/>
      <c r="R33" s="50" t="str">
        <f>IF(V33='Request #41'!V33,"OK","Send in Change Order")</f>
        <v>OK</v>
      </c>
      <c r="S33" s="85">
        <v>22</v>
      </c>
      <c r="T33" s="86" t="s">
        <v>71</v>
      </c>
      <c r="U33" s="218">
        <f>'Request #41'!U33</f>
        <v>0</v>
      </c>
      <c r="V33" s="87">
        <f>'Request #41'!V33</f>
        <v>0</v>
      </c>
      <c r="W33" s="88">
        <f>SUMIF(F7:F79,22,E7:E79)</f>
        <v>0</v>
      </c>
      <c r="X33" s="88">
        <f>'Request #41'!Y33</f>
        <v>0</v>
      </c>
      <c r="Y33" s="88">
        <f t="shared" si="1"/>
        <v>0</v>
      </c>
      <c r="Z33" s="88">
        <f t="shared" si="2"/>
        <v>0</v>
      </c>
      <c r="AA33" s="88">
        <f>SUMIF(P7:P79,22,O7:O79)</f>
        <v>0</v>
      </c>
      <c r="AB33" s="50" t="str">
        <f>IF(W33&gt;='Request #41'!AA33,"OK","Alert,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197">
        <f t="shared" si="3"/>
        <v>28</v>
      </c>
      <c r="H34" s="198" t="str">
        <f t="shared" si="3"/>
        <v>Other Fees</v>
      </c>
      <c r="I34" s="247">
        <f t="shared" si="3"/>
        <v>0</v>
      </c>
      <c r="K34" s="159"/>
      <c r="L34" s="157"/>
      <c r="M34" s="157"/>
      <c r="N34" s="154"/>
      <c r="O34" s="155"/>
      <c r="P34" s="158"/>
      <c r="R34" s="50" t="str">
        <f>IF(V34='Request #41'!V34,"OK","Send in Change Order")</f>
        <v>OK</v>
      </c>
      <c r="S34" s="85">
        <v>23</v>
      </c>
      <c r="T34" s="86" t="s">
        <v>71</v>
      </c>
      <c r="U34" s="218">
        <f>'Request #41'!U34</f>
        <v>0</v>
      </c>
      <c r="V34" s="87">
        <f>'Request #41'!V34</f>
        <v>0</v>
      </c>
      <c r="W34" s="88">
        <f>SUMIF(F7:F79,23,E7:E79)</f>
        <v>0</v>
      </c>
      <c r="X34" s="88">
        <f>'Request #41'!Y34</f>
        <v>0</v>
      </c>
      <c r="Y34" s="88">
        <f t="shared" si="1"/>
        <v>0</v>
      </c>
      <c r="Z34" s="88">
        <f t="shared" si="2"/>
        <v>0</v>
      </c>
      <c r="AA34" s="88">
        <f>SUMIF(P7:P79,23,O7:O79)</f>
        <v>0</v>
      </c>
      <c r="AB34" s="50" t="str">
        <f>IF(W34&gt;='Request #41'!AA34,"OK","Alert,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197">
        <f t="shared" si="3"/>
        <v>29</v>
      </c>
      <c r="H35" s="198" t="str">
        <f t="shared" si="3"/>
        <v>Other Fees</v>
      </c>
      <c r="I35" s="247">
        <f t="shared" si="3"/>
        <v>0</v>
      </c>
      <c r="K35" s="159"/>
      <c r="L35" s="157"/>
      <c r="M35" s="157"/>
      <c r="N35" s="154"/>
      <c r="O35" s="155"/>
      <c r="P35" s="158"/>
      <c r="R35" s="50" t="str">
        <f>IF(V36='Request #41'!V36,"OK","Send in Change Order")</f>
        <v>OK</v>
      </c>
      <c r="S35" s="85">
        <v>24</v>
      </c>
      <c r="T35" s="86" t="s">
        <v>71</v>
      </c>
      <c r="U35" s="218">
        <f>'Request #41'!U35</f>
        <v>0</v>
      </c>
      <c r="V35" s="87">
        <f>'Request #41'!V35</f>
        <v>0</v>
      </c>
      <c r="W35" s="88">
        <f>SUMIF(F7:F79,24,E7:E79)</f>
        <v>0</v>
      </c>
      <c r="X35" s="88">
        <f>'Request #41'!Y35</f>
        <v>0</v>
      </c>
      <c r="Y35" s="88">
        <f t="shared" si="1"/>
        <v>0</v>
      </c>
      <c r="Z35" s="88">
        <f t="shared" si="2"/>
        <v>0</v>
      </c>
      <c r="AA35" s="88">
        <f>SUMIF(P7:P79,24,O7:O79)</f>
        <v>0</v>
      </c>
      <c r="AB35" s="50" t="str">
        <f>IF(W36&gt;='Request #41'!AA36,"OK","Alert,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197">
        <f t="shared" si="3"/>
        <v>30</v>
      </c>
      <c r="H36" s="198" t="str">
        <f t="shared" si="3"/>
        <v>Other Fees</v>
      </c>
      <c r="I36" s="247">
        <f t="shared" si="3"/>
        <v>0</v>
      </c>
      <c r="K36" s="159"/>
      <c r="L36" s="157"/>
      <c r="M36" s="157"/>
      <c r="N36" s="154"/>
      <c r="O36" s="155"/>
      <c r="P36" s="158"/>
      <c r="R36" s="50" t="str">
        <f>IF(V36='Request #41'!V36,"OK","Send in Change Order")</f>
        <v>OK</v>
      </c>
      <c r="S36" s="85">
        <v>25</v>
      </c>
      <c r="T36" s="86" t="s">
        <v>71</v>
      </c>
      <c r="U36" s="218">
        <f>'Request #41'!U36</f>
        <v>0</v>
      </c>
      <c r="V36" s="87">
        <f>'Request #41'!V36</f>
        <v>0</v>
      </c>
      <c r="W36" s="88">
        <f>SUMIF(F7:F79,25,E7:E79)</f>
        <v>0</v>
      </c>
      <c r="X36" s="88">
        <f>'Request #41'!Y36</f>
        <v>0</v>
      </c>
      <c r="Y36" s="88">
        <f t="shared" si="1"/>
        <v>0</v>
      </c>
      <c r="Z36" s="88">
        <f t="shared" si="2"/>
        <v>0</v>
      </c>
      <c r="AA36" s="88">
        <f>SUMIF(P7:P79,25,O7:O79)</f>
        <v>0</v>
      </c>
      <c r="AB36" s="50" t="str">
        <f>IF(W36&gt;='Request #41'!AA36,"OK","Alert,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197">
        <f t="shared" si="3"/>
        <v>31</v>
      </c>
      <c r="H37" s="198" t="str">
        <f t="shared" si="3"/>
        <v>Other Fees</v>
      </c>
      <c r="I37" s="247">
        <f t="shared" si="3"/>
        <v>0</v>
      </c>
      <c r="K37" s="159"/>
      <c r="L37" s="157"/>
      <c r="M37" s="157"/>
      <c r="N37" s="154"/>
      <c r="O37" s="155"/>
      <c r="P37" s="158"/>
      <c r="R37" s="50" t="str">
        <f>IF(V37='Request #41'!V37,"OK","Send in Change Order")</f>
        <v>OK</v>
      </c>
      <c r="S37" s="85">
        <v>26</v>
      </c>
      <c r="T37" s="86" t="s">
        <v>82</v>
      </c>
      <c r="U37" s="218">
        <f>'Request #41'!U37</f>
        <v>0</v>
      </c>
      <c r="V37" s="87">
        <f>'Request #41'!V37</f>
        <v>0</v>
      </c>
      <c r="W37" s="88">
        <f>SUMIF(F7:F79,26,E7:E79)</f>
        <v>0</v>
      </c>
      <c r="X37" s="88">
        <f>'Request #41'!Y37</f>
        <v>0</v>
      </c>
      <c r="Y37" s="88">
        <f t="shared" si="1"/>
        <v>0</v>
      </c>
      <c r="Z37" s="88">
        <f t="shared" si="2"/>
        <v>0</v>
      </c>
      <c r="AA37" s="88">
        <f>SUMIF(P7:P79,26,O7:O79)</f>
        <v>0</v>
      </c>
      <c r="AB37" s="50" t="str">
        <f>IF(W37&gt;='Request #41'!AA37,"OK","Alert,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197">
        <f t="shared" si="3"/>
        <v>32</v>
      </c>
      <c r="H38" s="198" t="str">
        <f t="shared" si="3"/>
        <v>Other Fees</v>
      </c>
      <c r="I38" s="247">
        <f t="shared" si="3"/>
        <v>0</v>
      </c>
      <c r="K38" s="159"/>
      <c r="L38" s="157"/>
      <c r="M38" s="157"/>
      <c r="N38" s="154"/>
      <c r="O38" s="155"/>
      <c r="P38" s="158"/>
      <c r="R38" s="50" t="str">
        <f>IF(V38='Request #41'!V38,"OK","Send in Change Order")</f>
        <v>OK</v>
      </c>
      <c r="S38" s="85">
        <v>27</v>
      </c>
      <c r="T38" s="86" t="s">
        <v>82</v>
      </c>
      <c r="U38" s="218">
        <f>'Request #41'!U38</f>
        <v>0</v>
      </c>
      <c r="V38" s="87">
        <f>'Request #41'!V38</f>
        <v>0</v>
      </c>
      <c r="W38" s="88">
        <f>SUMIF(F7:F79,27,E7:E79)</f>
        <v>0</v>
      </c>
      <c r="X38" s="88">
        <f>'Request #41'!Y38</f>
        <v>0</v>
      </c>
      <c r="Y38" s="88">
        <f t="shared" si="1"/>
        <v>0</v>
      </c>
      <c r="Z38" s="88">
        <f t="shared" si="2"/>
        <v>0</v>
      </c>
      <c r="AA38" s="88">
        <f>SUMIF(P7:P79,27,O7:O79)</f>
        <v>0</v>
      </c>
      <c r="AB38" s="50" t="str">
        <f>IF(W38&gt;='Request #41'!AA38,"OK","Alert,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197">
        <f t="shared" si="3"/>
        <v>33</v>
      </c>
      <c r="H39" s="198" t="str">
        <f t="shared" si="3"/>
        <v>Other Fees</v>
      </c>
      <c r="I39" s="247">
        <f t="shared" si="3"/>
        <v>0</v>
      </c>
      <c r="K39" s="159"/>
      <c r="L39" s="157"/>
      <c r="M39" s="157"/>
      <c r="N39" s="154"/>
      <c r="O39" s="155"/>
      <c r="P39" s="158"/>
      <c r="R39" s="50" t="str">
        <f>IF(V39='Request #41'!V39,"OK","Send in Change Order")</f>
        <v>OK</v>
      </c>
      <c r="S39" s="85">
        <v>28</v>
      </c>
      <c r="T39" s="86" t="s">
        <v>82</v>
      </c>
      <c r="U39" s="218">
        <f>'Request #41'!U39</f>
        <v>0</v>
      </c>
      <c r="V39" s="87">
        <f>'Request #41'!V39</f>
        <v>0</v>
      </c>
      <c r="W39" s="88">
        <f>SUMIF(F7:F79,28,E7:E79)</f>
        <v>0</v>
      </c>
      <c r="X39" s="88">
        <f>'Request #41'!Y39</f>
        <v>0</v>
      </c>
      <c r="Y39" s="88">
        <f t="shared" si="1"/>
        <v>0</v>
      </c>
      <c r="Z39" s="88">
        <f t="shared" si="2"/>
        <v>0</v>
      </c>
      <c r="AA39" s="88">
        <f>SUMIF(P7:P79,28,O7:O79)</f>
        <v>0</v>
      </c>
      <c r="AB39" s="50" t="str">
        <f>IF(W39&gt;='Request #41'!AA39,"OK","Alert,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197">
        <f t="shared" ref="G40:I55" si="4">S45</f>
        <v>0</v>
      </c>
      <c r="H40" s="198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#41'!V40,"OK","Send in Change Order")</f>
        <v>OK</v>
      </c>
      <c r="S40" s="85">
        <v>29</v>
      </c>
      <c r="T40" s="86" t="s">
        <v>82</v>
      </c>
      <c r="U40" s="218">
        <f>'Request #41'!U40</f>
        <v>0</v>
      </c>
      <c r="V40" s="87">
        <f>'Request #41'!V40</f>
        <v>0</v>
      </c>
      <c r="W40" s="88">
        <f>SUMIF(F7:F79,29,E7:E79)</f>
        <v>0</v>
      </c>
      <c r="X40" s="88">
        <f>'Request #41'!Y40</f>
        <v>0</v>
      </c>
      <c r="Y40" s="88">
        <f t="shared" si="1"/>
        <v>0</v>
      </c>
      <c r="Z40" s="88">
        <f t="shared" si="2"/>
        <v>0</v>
      </c>
      <c r="AA40" s="88">
        <f>SUMIF(P7:P79,29,O7:O79)</f>
        <v>0</v>
      </c>
      <c r="AB40" s="50" t="str">
        <f>IF(W40&gt;='Request #41'!AA40,"OK","Alert,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197" t="str">
        <f t="shared" si="4"/>
        <v>Cost</v>
      </c>
      <c r="H41" s="198">
        <f t="shared" si="4"/>
        <v>0</v>
      </c>
      <c r="I41" s="247">
        <f t="shared" si="4"/>
        <v>0</v>
      </c>
      <c r="K41" s="159"/>
      <c r="L41" s="157"/>
      <c r="M41" s="157"/>
      <c r="N41" s="154"/>
      <c r="O41" s="155"/>
      <c r="P41" s="158"/>
      <c r="R41" s="50" t="str">
        <f>IF(V41='Request #41'!V41,"OK","Send in Change Order")</f>
        <v>OK</v>
      </c>
      <c r="S41" s="85">
        <v>30</v>
      </c>
      <c r="T41" s="86" t="s">
        <v>82</v>
      </c>
      <c r="U41" s="218">
        <f>'Request #41'!U41</f>
        <v>0</v>
      </c>
      <c r="V41" s="87">
        <f>'Request #41'!V41</f>
        <v>0</v>
      </c>
      <c r="W41" s="88">
        <f>SUMIF(F7:F79,30,E7:E79)</f>
        <v>0</v>
      </c>
      <c r="X41" s="88">
        <f>'Request #41'!Y41</f>
        <v>0</v>
      </c>
      <c r="Y41" s="88">
        <f t="shared" si="1"/>
        <v>0</v>
      </c>
      <c r="Z41" s="88">
        <f t="shared" si="2"/>
        <v>0</v>
      </c>
      <c r="AA41" s="88">
        <f>SUMIF(P7:P79,30,O7:O79)</f>
        <v>0</v>
      </c>
      <c r="AB41" s="50" t="str">
        <f>IF(W41&gt;='Request #41'!AA41,"OK","Alert,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197" t="str">
        <f t="shared" si="4"/>
        <v>Item</v>
      </c>
      <c r="H42" s="198" t="str">
        <f t="shared" si="4"/>
        <v>Account Name</v>
      </c>
      <c r="I42" s="247">
        <f t="shared" si="4"/>
        <v>0</v>
      </c>
      <c r="K42" s="159"/>
      <c r="L42" s="157"/>
      <c r="M42" s="157"/>
      <c r="N42" s="154"/>
      <c r="O42" s="155"/>
      <c r="P42" s="158"/>
      <c r="R42" s="50" t="str">
        <f>IF(V42='Request #41'!V42,"OK","Send in Change Order")</f>
        <v>OK</v>
      </c>
      <c r="S42" s="85">
        <v>31</v>
      </c>
      <c r="T42" s="86" t="s">
        <v>82</v>
      </c>
      <c r="U42" s="218">
        <f>'Request #41'!U42</f>
        <v>0</v>
      </c>
      <c r="V42" s="87">
        <f>'Request #41'!V42</f>
        <v>0</v>
      </c>
      <c r="W42" s="88">
        <f>SUMIF(F7:F79,31,E7:E79)</f>
        <v>0</v>
      </c>
      <c r="X42" s="88">
        <f>'Request #41'!Y42</f>
        <v>0</v>
      </c>
      <c r="Y42" s="88">
        <f t="shared" si="1"/>
        <v>0</v>
      </c>
      <c r="Z42" s="88">
        <f t="shared" si="2"/>
        <v>0</v>
      </c>
      <c r="AA42" s="88">
        <f>SUMIF(P7:P79,31,O7:O79)</f>
        <v>0</v>
      </c>
      <c r="AB42" s="50" t="str">
        <f>IF(W42&gt;='Request #41'!AA42,"OK","Alert,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197">
        <f t="shared" si="4"/>
        <v>0</v>
      </c>
      <c r="H43" s="198">
        <f t="shared" si="4"/>
        <v>0</v>
      </c>
      <c r="I43" s="247">
        <f t="shared" si="4"/>
        <v>0</v>
      </c>
      <c r="K43" s="159"/>
      <c r="L43" s="157"/>
      <c r="M43" s="157"/>
      <c r="N43" s="154"/>
      <c r="O43" s="155"/>
      <c r="P43" s="158"/>
      <c r="R43" s="50" t="str">
        <f>IF(V43='Request #41'!V43,"OK","Send in Change Order")</f>
        <v>OK</v>
      </c>
      <c r="S43" s="85">
        <v>32</v>
      </c>
      <c r="T43" s="86" t="s">
        <v>82</v>
      </c>
      <c r="U43" s="218">
        <f>'Request #41'!U43</f>
        <v>0</v>
      </c>
      <c r="V43" s="87">
        <f>'Request #41'!V43</f>
        <v>0</v>
      </c>
      <c r="W43" s="88">
        <f>SUMIF(F7:F79,32,E7:E79)</f>
        <v>0</v>
      </c>
      <c r="X43" s="88">
        <f>'Request #41'!Y43</f>
        <v>0</v>
      </c>
      <c r="Y43" s="88">
        <f t="shared" si="1"/>
        <v>0</v>
      </c>
      <c r="Z43" s="88">
        <f t="shared" si="2"/>
        <v>0</v>
      </c>
      <c r="AA43" s="88">
        <f>SUMIF(P7:P79,32,O7:O79)</f>
        <v>0</v>
      </c>
      <c r="AB43" s="50" t="str">
        <f>IF(W43&gt;='Request #41'!AA43,"OK","Alert,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197">
        <f t="shared" si="4"/>
        <v>38</v>
      </c>
      <c r="H44" s="198" t="str">
        <f t="shared" si="4"/>
        <v>Other Fees</v>
      </c>
      <c r="I44" s="247">
        <f t="shared" si="4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#41'!V44,"OK","Send in Change Order")</f>
        <v>OK</v>
      </c>
      <c r="S44" s="85">
        <v>33</v>
      </c>
      <c r="T44" s="86" t="s">
        <v>82</v>
      </c>
      <c r="U44" s="218">
        <f>'Request #41'!U44</f>
        <v>0</v>
      </c>
      <c r="V44" s="87">
        <f>'Request #41'!V44</f>
        <v>0</v>
      </c>
      <c r="W44" s="88">
        <f>SUMIF(F7:F79,33,E7:E79)</f>
        <v>0</v>
      </c>
      <c r="X44" s="88">
        <f>'Request #41'!Y44</f>
        <v>0</v>
      </c>
      <c r="Y44" s="88">
        <f t="shared" si="1"/>
        <v>0</v>
      </c>
      <c r="Z44" s="88">
        <f t="shared" si="2"/>
        <v>0</v>
      </c>
      <c r="AA44" s="88">
        <f>SUMIF(P7:P79,33,O7:O79)</f>
        <v>0</v>
      </c>
      <c r="AB44" s="50" t="str">
        <f>IF(W44&gt;='Request #41'!AA44,"OK","Alert,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4"/>
        <v>39</v>
      </c>
      <c r="H45" s="205" t="str">
        <f t="shared" si="4"/>
        <v>Other Fees</v>
      </c>
      <c r="I45" s="247">
        <f t="shared" si="4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4"/>
        <v>40</v>
      </c>
      <c r="H46" s="205" t="str">
        <f t="shared" si="4"/>
        <v>Other Fees</v>
      </c>
      <c r="I46" s="247">
        <f t="shared" si="4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197">
        <f t="shared" si="4"/>
        <v>41</v>
      </c>
      <c r="H47" s="198" t="str">
        <f t="shared" si="4"/>
        <v>Other Fees</v>
      </c>
      <c r="I47" s="247">
        <f t="shared" si="4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197">
        <f t="shared" si="4"/>
        <v>42</v>
      </c>
      <c r="H48" s="198" t="str">
        <f t="shared" si="4"/>
        <v>Other Fees</v>
      </c>
      <c r="I48" s="247">
        <f t="shared" si="4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197">
        <f t="shared" si="4"/>
        <v>43</v>
      </c>
      <c r="H49" s="198" t="str">
        <f t="shared" si="4"/>
        <v>Other Fees</v>
      </c>
      <c r="I49" s="247">
        <f t="shared" si="4"/>
        <v>0</v>
      </c>
      <c r="K49" s="159"/>
      <c r="L49" s="157"/>
      <c r="M49" s="157"/>
      <c r="N49" s="154"/>
      <c r="O49" s="155"/>
      <c r="P49" s="158"/>
      <c r="R49" s="50" t="str">
        <f>IF(V49='Request #41'!V49,"OK","Send in Change Order")</f>
        <v>OK</v>
      </c>
      <c r="S49" s="85">
        <v>38</v>
      </c>
      <c r="T49" s="86" t="s">
        <v>82</v>
      </c>
      <c r="U49" s="218">
        <f>'Request #41'!U49</f>
        <v>0</v>
      </c>
      <c r="V49" s="87">
        <f>'Request #41'!V49</f>
        <v>0</v>
      </c>
      <c r="W49" s="88">
        <f>SUMIF(F7:F79,38,E7:E79)</f>
        <v>0</v>
      </c>
      <c r="X49" s="88">
        <f>'Request #41'!Y49</f>
        <v>0</v>
      </c>
      <c r="Y49" s="88">
        <f t="shared" si="1"/>
        <v>0</v>
      </c>
      <c r="Z49" s="88">
        <f t="shared" si="2"/>
        <v>0</v>
      </c>
      <c r="AA49" s="88">
        <f>SUMIF(P7:P79,38,O7:O79)</f>
        <v>0</v>
      </c>
      <c r="AB49" s="50" t="str">
        <f>IF(W49&gt;='Request #41'!AA49,"OK","Alert,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197">
        <f t="shared" si="4"/>
        <v>44</v>
      </c>
      <c r="H50" s="198" t="str">
        <f t="shared" si="4"/>
        <v>Other Fees</v>
      </c>
      <c r="I50" s="247">
        <f t="shared" si="4"/>
        <v>0</v>
      </c>
      <c r="K50" s="159"/>
      <c r="L50" s="157"/>
      <c r="M50" s="157"/>
      <c r="N50" s="154"/>
      <c r="O50" s="155"/>
      <c r="P50" s="158"/>
      <c r="R50" s="50" t="str">
        <f>IF(V50='Request #41'!V50,"OK","Send in Change Order")</f>
        <v>OK</v>
      </c>
      <c r="S50" s="85">
        <v>39</v>
      </c>
      <c r="T50" s="86" t="s">
        <v>82</v>
      </c>
      <c r="U50" s="218">
        <f>'Request #41'!U50</f>
        <v>0</v>
      </c>
      <c r="V50" s="87">
        <f>'Request #41'!V50</f>
        <v>0</v>
      </c>
      <c r="W50" s="88">
        <f>SUMIF(F7:F79,39,E7:E79)</f>
        <v>0</v>
      </c>
      <c r="X50" s="88">
        <f>'Request #41'!Y50</f>
        <v>0</v>
      </c>
      <c r="Y50" s="88">
        <f t="shared" si="1"/>
        <v>0</v>
      </c>
      <c r="Z50" s="88">
        <f t="shared" si="2"/>
        <v>0</v>
      </c>
      <c r="AA50" s="88">
        <f>SUMIF(P7:P79,39,O7:O79)</f>
        <v>0</v>
      </c>
      <c r="AB50" s="50" t="str">
        <f>IF(W50&gt;='Request #41'!AA50,"OK","Alert,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197">
        <f t="shared" si="4"/>
        <v>45</v>
      </c>
      <c r="H51" s="198" t="str">
        <f t="shared" si="4"/>
        <v>Other Fees</v>
      </c>
      <c r="I51" s="247">
        <f t="shared" si="4"/>
        <v>0</v>
      </c>
      <c r="K51" s="159"/>
      <c r="L51" s="157"/>
      <c r="M51" s="157"/>
      <c r="N51" s="154"/>
      <c r="O51" s="155"/>
      <c r="P51" s="158"/>
      <c r="R51" s="50" t="str">
        <f>IF(V51='Request #41'!V51,"OK","Send in Change Order")</f>
        <v>OK</v>
      </c>
      <c r="S51" s="85">
        <v>40</v>
      </c>
      <c r="T51" s="86" t="s">
        <v>82</v>
      </c>
      <c r="U51" s="218">
        <f>'Request #41'!U51</f>
        <v>0</v>
      </c>
      <c r="V51" s="87">
        <f>'Request #41'!V51</f>
        <v>0</v>
      </c>
      <c r="W51" s="88">
        <f>SUMIF(F7:F79,40,E7:E79)</f>
        <v>0</v>
      </c>
      <c r="X51" s="88">
        <f>'Request #41'!Y51</f>
        <v>0</v>
      </c>
      <c r="Y51" s="88">
        <f t="shared" si="1"/>
        <v>0</v>
      </c>
      <c r="Z51" s="88">
        <f t="shared" si="2"/>
        <v>0</v>
      </c>
      <c r="AA51" s="88">
        <f>SUMIF(P7:P79,40,O7:O79)</f>
        <v>0</v>
      </c>
      <c r="AB51" s="50" t="str">
        <f>IF(W51&gt;='Request #41'!AA51,"OK","Alert,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197">
        <f t="shared" si="4"/>
        <v>46</v>
      </c>
      <c r="H52" s="198" t="str">
        <f t="shared" si="4"/>
        <v>Other Fees</v>
      </c>
      <c r="I52" s="247">
        <f t="shared" si="4"/>
        <v>0</v>
      </c>
      <c r="K52" s="159"/>
      <c r="L52" s="157"/>
      <c r="M52" s="157"/>
      <c r="N52" s="154"/>
      <c r="O52" s="155"/>
      <c r="P52" s="158"/>
      <c r="R52" s="50" t="str">
        <f>IF(V52='Request #41'!V52,"OK","Send in Change Order")</f>
        <v>OK</v>
      </c>
      <c r="S52" s="85">
        <v>41</v>
      </c>
      <c r="T52" s="86" t="s">
        <v>82</v>
      </c>
      <c r="U52" s="218">
        <f>'Request #41'!U52</f>
        <v>0</v>
      </c>
      <c r="V52" s="87">
        <f>'Request #41'!V52</f>
        <v>0</v>
      </c>
      <c r="W52" s="88">
        <f>SUMIF(F7:F79,41,E7:E79)</f>
        <v>0</v>
      </c>
      <c r="X52" s="88">
        <f>'Request #41'!Y52</f>
        <v>0</v>
      </c>
      <c r="Y52" s="88">
        <f t="shared" si="1"/>
        <v>0</v>
      </c>
      <c r="Z52" s="88">
        <f t="shared" si="2"/>
        <v>0</v>
      </c>
      <c r="AA52" s="88">
        <f>SUMIF(P7:P79,41,O7:O79)</f>
        <v>0</v>
      </c>
      <c r="AB52" s="50" t="str">
        <f>IF(W52&gt;='Request #41'!AA52,"OK","Alert,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197">
        <f t="shared" si="4"/>
        <v>47</v>
      </c>
      <c r="H53" s="198" t="str">
        <f t="shared" si="4"/>
        <v>Other Fees</v>
      </c>
      <c r="I53" s="247">
        <f t="shared" si="4"/>
        <v>0</v>
      </c>
      <c r="K53" s="159"/>
      <c r="L53" s="157"/>
      <c r="M53" s="157"/>
      <c r="N53" s="154"/>
      <c r="O53" s="155"/>
      <c r="P53" s="158"/>
      <c r="R53" s="50" t="str">
        <f>IF(V53='Request #41'!V53,"OK","Send in Change Order")</f>
        <v>OK</v>
      </c>
      <c r="S53" s="85">
        <v>42</v>
      </c>
      <c r="T53" s="86" t="s">
        <v>82</v>
      </c>
      <c r="U53" s="218">
        <f>'Request #41'!U53</f>
        <v>0</v>
      </c>
      <c r="V53" s="87">
        <f>'Request #41'!V53</f>
        <v>0</v>
      </c>
      <c r="W53" s="88">
        <f>SUMIF(F7:F79,42,E7:E79)</f>
        <v>0</v>
      </c>
      <c r="X53" s="88">
        <f>'Request #41'!Y53</f>
        <v>0</v>
      </c>
      <c r="Y53" s="88">
        <f t="shared" si="1"/>
        <v>0</v>
      </c>
      <c r="Z53" s="88">
        <f t="shared" si="2"/>
        <v>0</v>
      </c>
      <c r="AA53" s="88">
        <f>SUMIF(P7:P79,42,O7:O79)</f>
        <v>0</v>
      </c>
      <c r="AB53" s="50" t="str">
        <f>IF(W53&gt;='Request #41'!AA53,"OK","Alert,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197">
        <f t="shared" si="4"/>
        <v>48</v>
      </c>
      <c r="H54" s="198" t="str">
        <f t="shared" si="4"/>
        <v>Other Fees</v>
      </c>
      <c r="I54" s="247">
        <f t="shared" si="4"/>
        <v>0</v>
      </c>
      <c r="K54" s="159"/>
      <c r="L54" s="157"/>
      <c r="M54" s="157"/>
      <c r="N54" s="154"/>
      <c r="O54" s="155"/>
      <c r="P54" s="158"/>
      <c r="R54" s="50" t="str">
        <f>IF(V54='Request #41'!V54,"OK","Send in Change Order")</f>
        <v>OK</v>
      </c>
      <c r="S54" s="85">
        <v>43</v>
      </c>
      <c r="T54" s="86" t="s">
        <v>82</v>
      </c>
      <c r="U54" s="218">
        <f>'Request #41'!U54</f>
        <v>0</v>
      </c>
      <c r="V54" s="87">
        <f>'Request #41'!V54</f>
        <v>0</v>
      </c>
      <c r="W54" s="88">
        <f>SUMIF(F7:F79,43,E7:E79)</f>
        <v>0</v>
      </c>
      <c r="X54" s="88">
        <f>'Request #41'!Y54</f>
        <v>0</v>
      </c>
      <c r="Y54" s="88">
        <f t="shared" si="1"/>
        <v>0</v>
      </c>
      <c r="Z54" s="88">
        <f t="shared" si="2"/>
        <v>0</v>
      </c>
      <c r="AA54" s="88">
        <f>SUMIF(P7:P79,43,O7:O79)</f>
        <v>0</v>
      </c>
      <c r="AB54" s="50" t="str">
        <f>IF(W54&gt;='Request #41'!AA54,"OK","Alert,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197">
        <f t="shared" si="4"/>
        <v>49</v>
      </c>
      <c r="H55" s="198" t="str">
        <f t="shared" si="4"/>
        <v>Other Fees</v>
      </c>
      <c r="I55" s="247">
        <f t="shared" si="4"/>
        <v>0</v>
      </c>
      <c r="K55" s="159"/>
      <c r="L55" s="157"/>
      <c r="M55" s="157"/>
      <c r="N55" s="154"/>
      <c r="O55" s="155"/>
      <c r="P55" s="158"/>
      <c r="R55" s="50" t="str">
        <f>IF(V55='Request #41'!V55,"OK","Send in Change Order")</f>
        <v>OK</v>
      </c>
      <c r="S55" s="85">
        <v>44</v>
      </c>
      <c r="T55" s="86" t="s">
        <v>82</v>
      </c>
      <c r="U55" s="218">
        <f>'Request #41'!U55</f>
        <v>0</v>
      </c>
      <c r="V55" s="87">
        <f>'Request #41'!V55</f>
        <v>0</v>
      </c>
      <c r="W55" s="88">
        <f>SUMIF(F7:F79,44,E7:E79)</f>
        <v>0</v>
      </c>
      <c r="X55" s="88">
        <f>'Request #41'!Y55</f>
        <v>0</v>
      </c>
      <c r="Y55" s="88">
        <f t="shared" si="1"/>
        <v>0</v>
      </c>
      <c r="Z55" s="88">
        <f t="shared" si="2"/>
        <v>0</v>
      </c>
      <c r="AA55" s="88">
        <f>SUMIF(P7:P79,44,O7:O79)</f>
        <v>0</v>
      </c>
      <c r="AB55" s="50" t="str">
        <f>IF(W55&gt;='Request #41'!AA55,"OK","Alert,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197">
        <f t="shared" ref="G56:I62" si="5">S61</f>
        <v>50</v>
      </c>
      <c r="H56" s="198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#41'!V56,"OK","Send in Change Order")</f>
        <v>OK</v>
      </c>
      <c r="S56" s="85">
        <v>45</v>
      </c>
      <c r="T56" s="86" t="s">
        <v>82</v>
      </c>
      <c r="U56" s="218">
        <f>'Request #41'!U56</f>
        <v>0</v>
      </c>
      <c r="V56" s="87">
        <f>'Request #41'!V56</f>
        <v>0</v>
      </c>
      <c r="W56" s="88">
        <f>SUMIF(F7:F79,45,E7:E79)</f>
        <v>0</v>
      </c>
      <c r="X56" s="88">
        <f>'Request #41'!Y56</f>
        <v>0</v>
      </c>
      <c r="Y56" s="88">
        <f t="shared" si="1"/>
        <v>0</v>
      </c>
      <c r="Z56" s="88">
        <f t="shared" si="2"/>
        <v>0</v>
      </c>
      <c r="AA56" s="88">
        <f>SUMIF(P7:P79,45,O7:O79)</f>
        <v>0</v>
      </c>
      <c r="AB56" s="50" t="str">
        <f>IF(W56&gt;='Request #41'!AA56,"OK","Alert,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197">
        <f t="shared" si="5"/>
        <v>51</v>
      </c>
      <c r="H57" s="198" t="str">
        <f t="shared" si="5"/>
        <v>Other Fees</v>
      </c>
      <c r="I57" s="247">
        <f t="shared" si="5"/>
        <v>0</v>
      </c>
      <c r="K57" s="159"/>
      <c r="L57" s="157"/>
      <c r="M57" s="157"/>
      <c r="N57" s="154"/>
      <c r="O57" s="155"/>
      <c r="P57" s="158"/>
      <c r="R57" s="50" t="str">
        <f>IF(V57='Request #41'!V57,"OK","Send in Change Order")</f>
        <v>OK</v>
      </c>
      <c r="S57" s="85">
        <v>46</v>
      </c>
      <c r="T57" s="86" t="s">
        <v>82</v>
      </c>
      <c r="U57" s="218">
        <f>'Request #41'!U57</f>
        <v>0</v>
      </c>
      <c r="V57" s="87">
        <f>'Request #41'!V57</f>
        <v>0</v>
      </c>
      <c r="W57" s="88">
        <f>SUMIF(F7:F79,46,E7:E79)</f>
        <v>0</v>
      </c>
      <c r="X57" s="88">
        <f>'Request #41'!Y57</f>
        <v>0</v>
      </c>
      <c r="Y57" s="88">
        <f t="shared" si="1"/>
        <v>0</v>
      </c>
      <c r="Z57" s="88">
        <f t="shared" si="2"/>
        <v>0</v>
      </c>
      <c r="AA57" s="88">
        <f>SUMIF(P7:P79,46,O7:O79)</f>
        <v>0</v>
      </c>
      <c r="AB57" s="50" t="str">
        <f>IF(W57&gt;='Request #41'!AA57,"OK","Alert,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197">
        <f t="shared" si="5"/>
        <v>52</v>
      </c>
      <c r="H58" s="198" t="str">
        <f t="shared" si="5"/>
        <v>Worked Performed by Owner</v>
      </c>
      <c r="I58" s="247">
        <f t="shared" si="5"/>
        <v>0</v>
      </c>
      <c r="K58" s="159"/>
      <c r="L58" s="157"/>
      <c r="M58" s="157"/>
      <c r="N58" s="154"/>
      <c r="O58" s="155"/>
      <c r="P58" s="158"/>
      <c r="R58" s="50" t="str">
        <f>IF(V58='Request #41'!V58,"OK","Send in Change Order")</f>
        <v>OK</v>
      </c>
      <c r="S58" s="85">
        <v>47</v>
      </c>
      <c r="T58" s="86" t="s">
        <v>82</v>
      </c>
      <c r="U58" s="218">
        <f>'Request #41'!U58</f>
        <v>0</v>
      </c>
      <c r="V58" s="87">
        <f>'Request #41'!V58</f>
        <v>0</v>
      </c>
      <c r="W58" s="88">
        <f>SUMIF(F7:F79,47,E7:E79)</f>
        <v>0</v>
      </c>
      <c r="X58" s="88">
        <f>'Request #41'!Y58</f>
        <v>0</v>
      </c>
      <c r="Y58" s="88">
        <f t="shared" si="1"/>
        <v>0</v>
      </c>
      <c r="Z58" s="88">
        <f t="shared" si="2"/>
        <v>0</v>
      </c>
      <c r="AA58" s="88">
        <f>SUMIF(P7:P79,47,O7:O79)</f>
        <v>0</v>
      </c>
      <c r="AB58" s="50" t="str">
        <f>IF(W58&gt;='Request #41'!AA58,"OK","Alert,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197">
        <f t="shared" si="5"/>
        <v>53</v>
      </c>
      <c r="H59" s="198" t="str">
        <f t="shared" si="5"/>
        <v>Equipment (Major)</v>
      </c>
      <c r="I59" s="247">
        <f t="shared" si="5"/>
        <v>0</v>
      </c>
      <c r="K59" s="159"/>
      <c r="L59" s="157"/>
      <c r="M59" s="157"/>
      <c r="N59" s="154"/>
      <c r="O59" s="155"/>
      <c r="P59" s="158"/>
      <c r="R59" s="50" t="str">
        <f>IF(V59='Request #41'!V59,"OK","Send in Change Order")</f>
        <v>OK</v>
      </c>
      <c r="S59" s="85">
        <v>48</v>
      </c>
      <c r="T59" s="86" t="s">
        <v>82</v>
      </c>
      <c r="U59" s="218">
        <f>'Request #41'!U59</f>
        <v>0</v>
      </c>
      <c r="V59" s="87">
        <f>'Request #41'!V59</f>
        <v>0</v>
      </c>
      <c r="W59" s="88">
        <f>SUMIF(F7:F79,48,E7:E79)</f>
        <v>0</v>
      </c>
      <c r="X59" s="88">
        <f>'Request #41'!Y59</f>
        <v>0</v>
      </c>
      <c r="Y59" s="88">
        <f t="shared" si="1"/>
        <v>0</v>
      </c>
      <c r="Z59" s="88">
        <f t="shared" si="2"/>
        <v>0</v>
      </c>
      <c r="AA59" s="88">
        <f>SUMIF(P7:P79,48,O7:O79)</f>
        <v>0</v>
      </c>
      <c r="AB59" s="50" t="str">
        <f>IF(W59&gt;='Request #41'!AA59,"OK","Alert,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197">
        <f t="shared" si="5"/>
        <v>54</v>
      </c>
      <c r="H60" s="198" t="str">
        <f t="shared" si="5"/>
        <v>Contingency Fund</v>
      </c>
      <c r="I60" s="247">
        <f t="shared" si="5"/>
        <v>0</v>
      </c>
      <c r="K60" s="159"/>
      <c r="L60" s="157"/>
      <c r="M60" s="157"/>
      <c r="N60" s="154"/>
      <c r="O60" s="155"/>
      <c r="P60" s="158"/>
      <c r="R60" s="50" t="str">
        <f>IF(V60='Request #41'!V60,"OK","Send in Change Order")</f>
        <v>OK</v>
      </c>
      <c r="S60" s="85">
        <v>49</v>
      </c>
      <c r="T60" s="86" t="s">
        <v>82</v>
      </c>
      <c r="U60" s="218">
        <f>'Request #41'!U60</f>
        <v>0</v>
      </c>
      <c r="V60" s="87">
        <f>'Request #41'!V60</f>
        <v>0</v>
      </c>
      <c r="W60" s="88">
        <f>SUMIF(F7:F79,49,E7:E79)</f>
        <v>0</v>
      </c>
      <c r="X60" s="88">
        <f>'Request #41'!Y60</f>
        <v>0</v>
      </c>
      <c r="Y60" s="88">
        <f t="shared" si="1"/>
        <v>0</v>
      </c>
      <c r="Z60" s="88">
        <f t="shared" si="2"/>
        <v>0</v>
      </c>
      <c r="AA60" s="88">
        <f>SUMIF(P7:P79,49,O7:O79)</f>
        <v>0</v>
      </c>
      <c r="AB60" s="50" t="str">
        <f>IF(W60&gt;='Request #41'!AA60,"OK","Alert,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197">
        <f t="shared" si="5"/>
        <v>55</v>
      </c>
      <c r="H61" s="198">
        <f t="shared" si="5"/>
        <v>0</v>
      </c>
      <c r="I61" s="247">
        <f t="shared" si="5"/>
        <v>0</v>
      </c>
      <c r="K61" s="159"/>
      <c r="L61" s="157"/>
      <c r="M61" s="157"/>
      <c r="N61" s="154"/>
      <c r="O61" s="155"/>
      <c r="P61" s="158"/>
      <c r="R61" s="50" t="str">
        <f>IF(V61='Request #41'!V61,"OK","Send in Change Order")</f>
        <v>OK</v>
      </c>
      <c r="S61" s="85">
        <v>50</v>
      </c>
      <c r="T61" s="86" t="s">
        <v>82</v>
      </c>
      <c r="U61" s="218">
        <f>'Request #41'!U61</f>
        <v>0</v>
      </c>
      <c r="V61" s="87">
        <f>'Request #41'!V61</f>
        <v>0</v>
      </c>
      <c r="W61" s="88">
        <f>SUMIF(F7:F79,50,E7:E79)</f>
        <v>0</v>
      </c>
      <c r="X61" s="88">
        <f>'Request #41'!Y61</f>
        <v>0</v>
      </c>
      <c r="Y61" s="88">
        <f t="shared" si="1"/>
        <v>0</v>
      </c>
      <c r="Z61" s="88">
        <f t="shared" si="2"/>
        <v>0</v>
      </c>
      <c r="AA61" s="88">
        <f>SUMIF(P7:P79,50,O7:O79)</f>
        <v>0</v>
      </c>
      <c r="AB61" s="50" t="str">
        <f>IF(W61&gt;='Request #41'!AA61,"OK","Alert,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197">
        <f t="shared" si="5"/>
        <v>56</v>
      </c>
      <c r="H62" s="198">
        <f t="shared" si="5"/>
        <v>0</v>
      </c>
      <c r="I62" s="247">
        <f t="shared" si="5"/>
        <v>0</v>
      </c>
      <c r="K62" s="159"/>
      <c r="L62" s="157"/>
      <c r="M62" s="157"/>
      <c r="N62" s="154"/>
      <c r="O62" s="155"/>
      <c r="P62" s="158"/>
      <c r="R62" s="50" t="str">
        <f>IF(V62='Request #41'!V62,"OK","Send in Change Order")</f>
        <v>OK</v>
      </c>
      <c r="S62" s="85">
        <v>51</v>
      </c>
      <c r="T62" s="86" t="s">
        <v>82</v>
      </c>
      <c r="U62" s="218">
        <f>'Request #41'!U62</f>
        <v>0</v>
      </c>
      <c r="V62" s="87">
        <f>'Request #41'!V62</f>
        <v>0</v>
      </c>
      <c r="W62" s="88">
        <f>SUMIF(F7:F79,51,E7:E79)</f>
        <v>0</v>
      </c>
      <c r="X62" s="88">
        <f>'Request #41'!Y62</f>
        <v>0</v>
      </c>
      <c r="Y62" s="88">
        <f t="shared" si="1"/>
        <v>0</v>
      </c>
      <c r="Z62" s="88">
        <f t="shared" si="2"/>
        <v>0</v>
      </c>
      <c r="AA62" s="88">
        <f>SUMIF(P7:P79,51,O7:O79)</f>
        <v>0</v>
      </c>
      <c r="AB62" s="50" t="str">
        <f>IF(W62&gt;='Request #41'!AA62,"OK","Alert,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#41'!V63,"OK","Send in Change Order")</f>
        <v>OK</v>
      </c>
      <c r="S63" s="85">
        <v>52</v>
      </c>
      <c r="T63" s="86" t="s">
        <v>88</v>
      </c>
      <c r="U63" s="218">
        <f>'Request #41'!U63</f>
        <v>0</v>
      </c>
      <c r="V63" s="87">
        <f>'Request #41'!V63</f>
        <v>0</v>
      </c>
      <c r="W63" s="88">
        <f>SUMIF(F7:F79,52,E7:E79)</f>
        <v>0</v>
      </c>
      <c r="X63" s="88">
        <f>'Request #41'!Y63</f>
        <v>0</v>
      </c>
      <c r="Y63" s="88">
        <f t="shared" si="1"/>
        <v>0</v>
      </c>
      <c r="Z63" s="88">
        <f t="shared" si="2"/>
        <v>0</v>
      </c>
      <c r="AA63" s="88">
        <f>SUMIF(P7:P79,52,O7:O79)</f>
        <v>0</v>
      </c>
      <c r="AB63" s="50" t="str">
        <f>IF(W63&gt;='Request #41'!AA63,"OK","Alert,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#41'!V64,"OK","Send in Change Order")</f>
        <v>OK</v>
      </c>
      <c r="S64" s="85">
        <v>53</v>
      </c>
      <c r="T64" s="86" t="s">
        <v>89</v>
      </c>
      <c r="U64" s="218">
        <f>'Request #41'!U64</f>
        <v>0</v>
      </c>
      <c r="V64" s="87">
        <f>'Request #41'!V64</f>
        <v>0</v>
      </c>
      <c r="W64" s="88">
        <f>SUMIF(F7:F79,53,E7:E79)</f>
        <v>0</v>
      </c>
      <c r="X64" s="88">
        <f>'Request #41'!Y64</f>
        <v>0</v>
      </c>
      <c r="Y64" s="88">
        <f t="shared" si="1"/>
        <v>0</v>
      </c>
      <c r="Z64" s="88">
        <f t="shared" si="2"/>
        <v>0</v>
      </c>
      <c r="AA64" s="88">
        <f>SUMIF(P7:P79,53,O7:O79)</f>
        <v>0</v>
      </c>
      <c r="AB64" s="50" t="str">
        <f>IF(W64&gt;='Request #41'!AA64,"OK","Alert,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#41'!V65,"OK","Send in Change Order")</f>
        <v>OK</v>
      </c>
      <c r="S65" s="85">
        <v>54</v>
      </c>
      <c r="T65" s="102" t="s">
        <v>90</v>
      </c>
      <c r="U65" s="218">
        <f>'Request #41'!U65</f>
        <v>0</v>
      </c>
      <c r="V65" s="87">
        <f>'Request #41'!V65</f>
        <v>0</v>
      </c>
      <c r="W65" s="104"/>
      <c r="X65" s="88">
        <f>'Request #41'!Y65</f>
        <v>0</v>
      </c>
      <c r="Y65" s="88">
        <f t="shared" si="1"/>
        <v>0</v>
      </c>
      <c r="Z65" s="88">
        <f t="shared" si="2"/>
        <v>0</v>
      </c>
      <c r="AA65" s="104"/>
      <c r="AB65" s="50" t="str">
        <f>IF(W65&gt;='Request #41'!AA65,"OK","Alert,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#41'!V66,"OK","Send in Change Order")</f>
        <v>OK</v>
      </c>
      <c r="S66" s="85">
        <v>55</v>
      </c>
      <c r="T66" s="86"/>
      <c r="U66" s="218">
        <f>'Request #41'!U66</f>
        <v>0</v>
      </c>
      <c r="V66" s="87">
        <f>'Request #41'!V66</f>
        <v>0</v>
      </c>
      <c r="W66" s="88">
        <f>SUMIF(F7:F79,55,E7:E79)</f>
        <v>0</v>
      </c>
      <c r="X66" s="88">
        <f>'Request #41'!Y66</f>
        <v>0</v>
      </c>
      <c r="Y66" s="88">
        <f t="shared" si="1"/>
        <v>0</v>
      </c>
      <c r="Z66" s="88">
        <f t="shared" si="2"/>
        <v>0</v>
      </c>
      <c r="AA66" s="88">
        <f>SUMIF(P7:P79,55,O7:O79)</f>
        <v>0</v>
      </c>
      <c r="AB66" s="50" t="str">
        <f>IF(W66&gt;='Request #41'!AA66,"OK","Alert,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#41'!V67,"OK","Send in Change Order")</f>
        <v>OK</v>
      </c>
      <c r="S67" s="85">
        <v>56</v>
      </c>
      <c r="T67" s="79"/>
      <c r="U67" s="218">
        <f>'Request #41'!U67</f>
        <v>0</v>
      </c>
      <c r="V67" s="87">
        <f>'Request #41'!V67</f>
        <v>0</v>
      </c>
      <c r="W67" s="88">
        <f>SUMIF(F7:F79,56,E7:E79)</f>
        <v>0</v>
      </c>
      <c r="X67" s="88">
        <f>'Request #41'!Y67</f>
        <v>0</v>
      </c>
      <c r="Y67" s="88">
        <f t="shared" si="1"/>
        <v>0</v>
      </c>
      <c r="Z67" s="88">
        <f t="shared" si="2"/>
        <v>0</v>
      </c>
      <c r="AA67" s="88">
        <f>SUMIF(P7:P79,56,O7:O79)</f>
        <v>0</v>
      </c>
      <c r="AB67" s="50" t="str">
        <f>IF(W67&gt;='Request #41'!AA67,"OK","Alert,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#41'!V68,"OK","Send in Change Order")</f>
        <v>OK</v>
      </c>
      <c r="S68" s="316" t="s">
        <v>60</v>
      </c>
      <c r="T68" s="317"/>
      <c r="U68" s="166" t="s">
        <v>91</v>
      </c>
      <c r="V68" s="263">
        <f t="shared" ref="V68:AA68" si="6">SUM(V12:V67)</f>
        <v>0</v>
      </c>
      <c r="W68" s="105">
        <f t="shared" si="6"/>
        <v>0</v>
      </c>
      <c r="X68" s="105">
        <f t="shared" si="6"/>
        <v>0</v>
      </c>
      <c r="Y68" s="105">
        <f t="shared" si="6"/>
        <v>0</v>
      </c>
      <c r="Z68" s="105">
        <f t="shared" si="6"/>
        <v>0</v>
      </c>
      <c r="AA68" s="105">
        <f t="shared" si="6"/>
        <v>0</v>
      </c>
      <c r="AB68" s="50" t="str">
        <f>IF(W68&gt;='Request #41'!AA68,"OK","Alert,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108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167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190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119" t="e">
        <f>V72/V68</f>
        <v>#DIV/0!</v>
      </c>
      <c r="V72" s="88">
        <f>V68-V74-V73</f>
        <v>0</v>
      </c>
      <c r="W72" s="87">
        <v>0</v>
      </c>
      <c r="X72" s="88">
        <f>'Request #41'!Y72</f>
        <v>0</v>
      </c>
      <c r="Y72" s="88">
        <f t="shared" ref="Y72:Y73" si="7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S73" s="86" t="s">
        <v>95</v>
      </c>
      <c r="T73" s="114"/>
      <c r="U73" s="119" t="e">
        <f>V73/V68</f>
        <v>#DIV/0!</v>
      </c>
      <c r="V73" s="87">
        <f>'Request #41'!V73</f>
        <v>0</v>
      </c>
      <c r="W73" s="87">
        <v>0</v>
      </c>
      <c r="X73" s="88">
        <f>'Request #41'!Y73</f>
        <v>0</v>
      </c>
      <c r="Y73" s="88">
        <f t="shared" si="7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S74" s="120" t="s">
        <v>96</v>
      </c>
      <c r="T74" s="121"/>
      <c r="U74" s="119" t="e">
        <f>V74/V68</f>
        <v>#DIV/0!</v>
      </c>
      <c r="V74" s="87">
        <f>'Request #41'!V74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55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1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114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114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136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55"/>
      <c r="V80" s="55"/>
      <c r="W80" s="55"/>
      <c r="X80" s="138"/>
      <c r="Y80" s="45" t="s">
        <v>108</v>
      </c>
      <c r="Z80" s="43"/>
      <c r="AA80" s="88">
        <f>'Request #41'!AA79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42</v>
      </c>
      <c r="V87" s="55"/>
      <c r="W87" s="55"/>
      <c r="X87" s="138"/>
      <c r="Y87" s="45" t="s">
        <v>108</v>
      </c>
      <c r="Z87" s="43"/>
      <c r="AA87" s="88">
        <f>'Request #41'!AA86</f>
        <v>0</v>
      </c>
      <c r="AB87" s="110"/>
    </row>
    <row r="88" spans="1:28" ht="30" customHeight="1" thickBot="1" x14ac:dyDescent="0.35">
      <c r="S88" s="55"/>
      <c r="T88" s="55"/>
      <c r="U88" s="55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55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55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55"/>
      <c r="V91" s="55"/>
      <c r="W91" s="55"/>
      <c r="X91" s="55"/>
    </row>
    <row r="92" spans="1:28" ht="30" customHeight="1" x14ac:dyDescent="0.3">
      <c r="S92" s="55"/>
      <c r="T92" s="55"/>
      <c r="U92" s="55"/>
      <c r="V92" s="55"/>
      <c r="W92" s="55"/>
      <c r="X92" s="55"/>
    </row>
    <row r="93" spans="1:28" ht="30" customHeight="1" x14ac:dyDescent="0.3">
      <c r="S93" s="55"/>
      <c r="T93" s="55"/>
      <c r="U93" s="55"/>
      <c r="V93" s="55"/>
      <c r="W93" s="55"/>
      <c r="X93" s="55"/>
    </row>
    <row r="94" spans="1:28" ht="30" customHeight="1" x14ac:dyDescent="0.3">
      <c r="S94" s="55"/>
      <c r="T94" s="55"/>
      <c r="U94" s="55"/>
      <c r="V94" s="55"/>
      <c r="W94" s="55"/>
      <c r="X94" s="55"/>
    </row>
    <row r="95" spans="1:28" ht="30" customHeight="1" x14ac:dyDescent="0.3">
      <c r="S95" s="55"/>
      <c r="T95" s="55"/>
      <c r="U95" s="55"/>
      <c r="V95" s="55"/>
      <c r="W95" s="55"/>
      <c r="X95" s="55"/>
    </row>
    <row r="96" spans="1:28" ht="30" customHeight="1" x14ac:dyDescent="0.3">
      <c r="S96" s="55"/>
      <c r="T96" s="55"/>
      <c r="U96" s="55"/>
      <c r="V96" s="55"/>
      <c r="W96" s="55"/>
      <c r="X96" s="55"/>
    </row>
    <row r="97" spans="15:24" ht="30" customHeight="1" x14ac:dyDescent="0.3">
      <c r="S97" s="55"/>
      <c r="T97" s="55"/>
      <c r="U97" s="55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bH25LNQpOt+0hmuYsdBVvD5Ol3ex0Ak7ynaLEeQVmw5fg1aG7lGvjblf2tFyW8XFrvTyv8+lReMmu0OxIbHQIQ==" saltValue="N1vbfC5jcGvxD3/CbkLYbg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6:Z86"/>
    <mergeCell ref="S68:T68"/>
    <mergeCell ref="S70:T70"/>
    <mergeCell ref="Y76:AA76"/>
    <mergeCell ref="W77:W79"/>
    <mergeCell ref="Y79:Z79"/>
    <mergeCell ref="Y83:AA83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61" priority="10" operator="containsText" text="Change">
      <formula>NOT(ISERROR(SEARCH("Change",R1)))</formula>
    </cfRule>
  </conditionalFormatting>
  <conditionalFormatting sqref="R45:R48">
    <cfRule type="cellIs" dxfId="60" priority="7" operator="equal">
      <formula>"Send in Change Order"</formula>
    </cfRule>
  </conditionalFormatting>
  <conditionalFormatting sqref="W68">
    <cfRule type="cellIs" dxfId="59" priority="2" operator="notEqual">
      <formula>$E$82</formula>
    </cfRule>
    <cfRule type="cellIs" dxfId="58" priority="3" operator="greaterThan">
      <formula>$E$82</formula>
    </cfRule>
    <cfRule type="cellIs" dxfId="57" priority="4" operator="notEqual">
      <formula>$E$82</formula>
    </cfRule>
  </conditionalFormatting>
  <conditionalFormatting sqref="Z12:Z44">
    <cfRule type="cellIs" dxfId="56" priority="8" operator="lessThan">
      <formula>0</formula>
    </cfRule>
  </conditionalFormatting>
  <conditionalFormatting sqref="Z49:Z68">
    <cfRule type="cellIs" dxfId="55" priority="5" operator="lessThan">
      <formula>0</formula>
    </cfRule>
  </conditionalFormatting>
  <conditionalFormatting sqref="AA68">
    <cfRule type="cellIs" dxfId="54" priority="1" operator="notEqual">
      <formula>$O$82</formula>
    </cfRule>
  </conditionalFormatting>
  <conditionalFormatting sqref="AB1:AB1048576">
    <cfRule type="containsText" dxfId="53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6" manualBreakCount="6">
    <brk id="6" max="1048575" man="1"/>
    <brk id="10" max="1048575" man="1"/>
    <brk id="16" max="1048575" man="1"/>
    <brk id="18" max="1048575" man="1"/>
    <brk id="27" max="1048575" man="1"/>
    <brk id="29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664062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21875" style="50" customWidth="1"/>
    <col min="19" max="19" width="6.109375" style="39" customWidth="1"/>
    <col min="20" max="20" width="30.5546875" style="39" customWidth="1"/>
    <col min="21" max="21" width="17.77734375" style="39" customWidth="1"/>
    <col min="22" max="27" width="18.88671875" style="39" customWidth="1"/>
    <col min="28" max="28" width="24.3320312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53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43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53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53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195" t="s">
        <v>35</v>
      </c>
      <c r="H6" s="196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55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197">
        <f>S12</f>
        <v>1</v>
      </c>
      <c r="H7" s="198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197">
        <f t="shared" ref="G8:I23" si="0">S13</f>
        <v>2</v>
      </c>
      <c r="H8" s="198" t="str">
        <f t="shared" si="0"/>
        <v>General Contract</v>
      </c>
      <c r="I8" s="247">
        <f t="shared" si="0"/>
        <v>0</v>
      </c>
      <c r="K8" s="152"/>
      <c r="L8" s="157"/>
      <c r="M8" s="157"/>
      <c r="N8" s="154"/>
      <c r="O8" s="155"/>
      <c r="P8" s="158"/>
      <c r="S8" s="66"/>
      <c r="T8" s="67"/>
      <c r="U8" s="68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197">
        <f t="shared" si="0"/>
        <v>3</v>
      </c>
      <c r="H9" s="198" t="str">
        <f t="shared" si="0"/>
        <v>Architect Contract</v>
      </c>
      <c r="I9" s="247">
        <f t="shared" si="0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74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43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197">
        <f t="shared" si="0"/>
        <v>4</v>
      </c>
      <c r="H10" s="198" t="str">
        <f t="shared" si="0"/>
        <v>Architect Reimbursables</v>
      </c>
      <c r="I10" s="247">
        <f t="shared" si="0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197">
        <f t="shared" si="0"/>
        <v>5</v>
      </c>
      <c r="H11" s="198" t="str">
        <f t="shared" si="0"/>
        <v>Other Contracts</v>
      </c>
      <c r="I11" s="247">
        <f t="shared" si="0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80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197">
        <f t="shared" si="0"/>
        <v>6</v>
      </c>
      <c r="H12" s="198" t="str">
        <f t="shared" si="0"/>
        <v>Other Contracts</v>
      </c>
      <c r="I12" s="247">
        <f t="shared" si="0"/>
        <v>0</v>
      </c>
      <c r="K12" s="152"/>
      <c r="L12" s="157"/>
      <c r="M12" s="157"/>
      <c r="N12" s="154"/>
      <c r="O12" s="155"/>
      <c r="P12" s="158"/>
      <c r="R12" s="50" t="str">
        <f>IF(V12='Request #42'!V12,"OK","Send in Change Order")</f>
        <v>OK</v>
      </c>
      <c r="S12" s="85">
        <v>1</v>
      </c>
      <c r="T12" s="86" t="str">
        <f>'Request #35'!T12</f>
        <v>Land/Site Grading &amp; Improv.</v>
      </c>
      <c r="U12" s="218">
        <f>'Request #42'!U12</f>
        <v>0</v>
      </c>
      <c r="V12" s="87">
        <f>'Request #42'!V12</f>
        <v>0</v>
      </c>
      <c r="W12" s="88">
        <f>SUMIF(F7:F79,1,E7:E79)</f>
        <v>0</v>
      </c>
      <c r="X12" s="88">
        <f>'Request #42'!Y12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#42'!AA12,"OK","Alert,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197">
        <f t="shared" si="0"/>
        <v>7</v>
      </c>
      <c r="H13" s="198" t="str">
        <f t="shared" si="0"/>
        <v>Other Contracts</v>
      </c>
      <c r="I13" s="247">
        <f t="shared" si="0"/>
        <v>0</v>
      </c>
      <c r="K13" s="152"/>
      <c r="L13" s="157"/>
      <c r="M13" s="157"/>
      <c r="N13" s="154"/>
      <c r="O13" s="155"/>
      <c r="P13" s="158"/>
      <c r="R13" s="50" t="str">
        <f>IF(V13='Request #42'!V13,"OK","Send in Change Order")</f>
        <v>OK</v>
      </c>
      <c r="S13" s="85">
        <v>2</v>
      </c>
      <c r="T13" s="86" t="s">
        <v>122</v>
      </c>
      <c r="U13" s="218">
        <f>'Request #42'!U13</f>
        <v>0</v>
      </c>
      <c r="V13" s="87">
        <f>'Request #42'!V13</f>
        <v>0</v>
      </c>
      <c r="W13" s="88">
        <f>SUMIF(F7:F79,2,E7:E79)</f>
        <v>0</v>
      </c>
      <c r="X13" s="88">
        <f>'Request #42'!Y13</f>
        <v>0</v>
      </c>
      <c r="Y13" s="88">
        <f t="shared" ref="Y13:Y67" si="1">W13+X13</f>
        <v>0</v>
      </c>
      <c r="Z13" s="88">
        <f t="shared" ref="Z13:Z67" si="2">V13-Y13</f>
        <v>0</v>
      </c>
      <c r="AA13" s="88">
        <f>SUMIF(P7:P79,2,O7:O79)</f>
        <v>0</v>
      </c>
      <c r="AB13" s="50" t="str">
        <f>IF(W13&gt;='Request #42'!AA13,"OK","Alert,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197">
        <f t="shared" si="0"/>
        <v>8</v>
      </c>
      <c r="H14" s="198" t="str">
        <f t="shared" si="0"/>
        <v>Other Contracts</v>
      </c>
      <c r="I14" s="247">
        <f t="shared" si="0"/>
        <v>0</v>
      </c>
      <c r="K14" s="159"/>
      <c r="L14" s="157"/>
      <c r="M14" s="157"/>
      <c r="N14" s="154"/>
      <c r="O14" s="155"/>
      <c r="P14" s="158"/>
      <c r="R14" s="50" t="str">
        <f>IF(V14='Request #42'!V14,"OK","Send in Change Order")</f>
        <v>OK</v>
      </c>
      <c r="S14" s="85">
        <v>3</v>
      </c>
      <c r="T14" s="86" t="s">
        <v>123</v>
      </c>
      <c r="U14" s="218">
        <f>'Request #42'!U14</f>
        <v>0</v>
      </c>
      <c r="V14" s="87">
        <f>'Request #42'!V14</f>
        <v>0</v>
      </c>
      <c r="W14" s="88">
        <f>SUMIF(F7:F79,3,E7:E79)</f>
        <v>0</v>
      </c>
      <c r="X14" s="88">
        <f>'Request #42'!Y14</f>
        <v>0</v>
      </c>
      <c r="Y14" s="88">
        <f t="shared" si="1"/>
        <v>0</v>
      </c>
      <c r="Z14" s="88">
        <f t="shared" si="2"/>
        <v>0</v>
      </c>
      <c r="AA14" s="88">
        <f>SUMIF(P7:P79,3,O7:O79)</f>
        <v>0</v>
      </c>
      <c r="AB14" s="50" t="str">
        <f>IF(W14&gt;='Request #42'!AA14,"OK","Alert,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197">
        <f t="shared" si="0"/>
        <v>9</v>
      </c>
      <c r="H15" s="198" t="str">
        <f t="shared" si="0"/>
        <v>Other Contracts</v>
      </c>
      <c r="I15" s="247">
        <f t="shared" si="0"/>
        <v>0</v>
      </c>
      <c r="K15" s="159"/>
      <c r="L15" s="157"/>
      <c r="M15" s="157"/>
      <c r="N15" s="154"/>
      <c r="O15" s="155"/>
      <c r="P15" s="158"/>
      <c r="R15" s="50" t="str">
        <f>IF(V15='Request #42'!V15,"OK","Send in Change Order")</f>
        <v>OK</v>
      </c>
      <c r="S15" s="85">
        <v>4</v>
      </c>
      <c r="T15" s="86" t="s">
        <v>124</v>
      </c>
      <c r="U15" s="218">
        <f>'Request #42'!U15</f>
        <v>0</v>
      </c>
      <c r="V15" s="87">
        <f>'Request #42'!V15</f>
        <v>0</v>
      </c>
      <c r="W15" s="88">
        <f>SUMIF(F7:F79,4,E7:E79)</f>
        <v>0</v>
      </c>
      <c r="X15" s="88">
        <f>'Request #42'!Y15</f>
        <v>0</v>
      </c>
      <c r="Y15" s="88">
        <f t="shared" si="1"/>
        <v>0</v>
      </c>
      <c r="Z15" s="88">
        <f t="shared" si="2"/>
        <v>0</v>
      </c>
      <c r="AA15" s="88">
        <f>SUMIF(P7:P79,4,O7:O79)</f>
        <v>0</v>
      </c>
      <c r="AB15" s="50" t="str">
        <f>IF(W15&gt;='Request #42'!AA15,"OK","Alert,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197">
        <f t="shared" si="0"/>
        <v>10</v>
      </c>
      <c r="H16" s="198" t="str">
        <f t="shared" si="0"/>
        <v>Other Contracts</v>
      </c>
      <c r="I16" s="247">
        <f t="shared" si="0"/>
        <v>0</v>
      </c>
      <c r="K16" s="152"/>
      <c r="L16" s="157"/>
      <c r="M16" s="157"/>
      <c r="N16" s="154"/>
      <c r="O16" s="155"/>
      <c r="P16" s="158"/>
      <c r="R16" s="50" t="str">
        <f>IF(V16='Request #42'!V16,"OK","Send in Change Order")</f>
        <v>OK</v>
      </c>
      <c r="S16" s="85">
        <v>5</v>
      </c>
      <c r="T16" s="86" t="s">
        <v>71</v>
      </c>
      <c r="U16" s="218">
        <f>'Request #42'!U16</f>
        <v>0</v>
      </c>
      <c r="V16" s="87">
        <f>'Request #42'!V16</f>
        <v>0</v>
      </c>
      <c r="W16" s="88">
        <f>SUMIF(F7:F79,5,E7:E79)</f>
        <v>0</v>
      </c>
      <c r="X16" s="88">
        <f>'Request #42'!Y16</f>
        <v>0</v>
      </c>
      <c r="Y16" s="88">
        <f t="shared" si="1"/>
        <v>0</v>
      </c>
      <c r="Z16" s="88">
        <f t="shared" si="2"/>
        <v>0</v>
      </c>
      <c r="AA16" s="88">
        <f>SUMIF(P7:P79,5,O7:O79)</f>
        <v>0</v>
      </c>
      <c r="AB16" s="50" t="str">
        <f>IF(W16&gt;='Request #42'!AA16,"OK","Alert,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197">
        <f t="shared" si="0"/>
        <v>11</v>
      </c>
      <c r="H17" s="198" t="str">
        <f t="shared" si="0"/>
        <v>Other Contracts</v>
      </c>
      <c r="I17" s="247">
        <f t="shared" si="0"/>
        <v>0</v>
      </c>
      <c r="K17" s="152"/>
      <c r="L17" s="157"/>
      <c r="M17" s="157"/>
      <c r="N17" s="154"/>
      <c r="O17" s="155"/>
      <c r="P17" s="158"/>
      <c r="R17" s="50" t="str">
        <f>IF(V17='Request #42'!V17,"OK","Send in Change Order")</f>
        <v>OK</v>
      </c>
      <c r="S17" s="85">
        <v>6</v>
      </c>
      <c r="T17" s="86" t="s">
        <v>71</v>
      </c>
      <c r="U17" s="218">
        <f>'Request #42'!U17</f>
        <v>0</v>
      </c>
      <c r="V17" s="87">
        <f>'Request #42'!V17</f>
        <v>0</v>
      </c>
      <c r="W17" s="88">
        <f>SUMIF(F7:F79,6,E7:E79)</f>
        <v>0</v>
      </c>
      <c r="X17" s="88">
        <f>'Request #42'!Y17</f>
        <v>0</v>
      </c>
      <c r="Y17" s="88">
        <f t="shared" si="1"/>
        <v>0</v>
      </c>
      <c r="Z17" s="88">
        <f t="shared" si="2"/>
        <v>0</v>
      </c>
      <c r="AA17" s="88">
        <f>SUMIF(P7:P79,6,O7:O79)</f>
        <v>0</v>
      </c>
      <c r="AB17" s="50" t="str">
        <f>IF(W17&gt;='Request #42'!AA17,"OK","Alert,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197">
        <f t="shared" si="0"/>
        <v>12</v>
      </c>
      <c r="H18" s="198" t="str">
        <f t="shared" si="0"/>
        <v>Other Contracts</v>
      </c>
      <c r="I18" s="247">
        <f t="shared" si="0"/>
        <v>0</v>
      </c>
      <c r="K18" s="152"/>
      <c r="L18" s="157"/>
      <c r="M18" s="157"/>
      <c r="N18" s="154"/>
      <c r="O18" s="155"/>
      <c r="P18" s="158"/>
      <c r="R18" s="50" t="str">
        <f>IF(V18='Request #42'!V18,"OK","Send in Change Order")</f>
        <v>OK</v>
      </c>
      <c r="S18" s="85">
        <v>7</v>
      </c>
      <c r="T18" s="86" t="s">
        <v>71</v>
      </c>
      <c r="U18" s="218">
        <f>'Request #42'!U18</f>
        <v>0</v>
      </c>
      <c r="V18" s="87">
        <f>'Request #42'!V18</f>
        <v>0</v>
      </c>
      <c r="W18" s="88">
        <f>SUMIF(F7:F79,7,E7:E79)</f>
        <v>0</v>
      </c>
      <c r="X18" s="88">
        <f>'Request #42'!Y18</f>
        <v>0</v>
      </c>
      <c r="Y18" s="88">
        <f t="shared" si="1"/>
        <v>0</v>
      </c>
      <c r="Z18" s="88">
        <f t="shared" si="2"/>
        <v>0</v>
      </c>
      <c r="AA18" s="88">
        <f>SUMIF(P7:P79,7,O7:O79)</f>
        <v>0</v>
      </c>
      <c r="AB18" s="50" t="str">
        <f>IF(W18&gt;='Request #42'!AA18,"OK","Alert,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197">
        <f t="shared" si="0"/>
        <v>13</v>
      </c>
      <c r="H19" s="198" t="str">
        <f t="shared" si="0"/>
        <v>Other Contracts</v>
      </c>
      <c r="I19" s="247">
        <f t="shared" si="0"/>
        <v>0</v>
      </c>
      <c r="K19" s="159"/>
      <c r="L19" s="157"/>
      <c r="M19" s="157"/>
      <c r="N19" s="154"/>
      <c r="O19" s="155"/>
      <c r="P19" s="158"/>
      <c r="R19" s="50" t="str">
        <f>IF(V19='Request #42'!V19,"OK","Send in Change Order")</f>
        <v>OK</v>
      </c>
      <c r="S19" s="85">
        <v>8</v>
      </c>
      <c r="T19" s="86" t="s">
        <v>71</v>
      </c>
      <c r="U19" s="218">
        <f>'Request #42'!U19</f>
        <v>0</v>
      </c>
      <c r="V19" s="87">
        <f>'Request #42'!V19</f>
        <v>0</v>
      </c>
      <c r="W19" s="88">
        <f>SUMIF(F7:F79,8,E7:E79)</f>
        <v>0</v>
      </c>
      <c r="X19" s="88">
        <f>'Request #42'!Y19</f>
        <v>0</v>
      </c>
      <c r="Y19" s="88">
        <f t="shared" si="1"/>
        <v>0</v>
      </c>
      <c r="Z19" s="88">
        <f t="shared" si="2"/>
        <v>0</v>
      </c>
      <c r="AA19" s="88">
        <f>SUMIF(P7:P79,8,O7:O79)</f>
        <v>0</v>
      </c>
      <c r="AB19" s="50" t="str">
        <f>IF(W19&gt;='Request #42'!AA19,"OK","Alert,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197">
        <f t="shared" si="0"/>
        <v>14</v>
      </c>
      <c r="H20" s="198" t="str">
        <f t="shared" si="0"/>
        <v>Other Contracts</v>
      </c>
      <c r="I20" s="247">
        <f t="shared" si="0"/>
        <v>0</v>
      </c>
      <c r="K20" s="152"/>
      <c r="L20" s="157"/>
      <c r="M20" s="157"/>
      <c r="N20" s="154"/>
      <c r="O20" s="155"/>
      <c r="P20" s="158"/>
      <c r="R20" s="50" t="str">
        <f>IF(V20='Request #42'!V20,"OK","Send in Change Order")</f>
        <v>OK</v>
      </c>
      <c r="S20" s="85">
        <v>9</v>
      </c>
      <c r="T20" s="86" t="s">
        <v>71</v>
      </c>
      <c r="U20" s="218">
        <f>'Request #42'!U20</f>
        <v>0</v>
      </c>
      <c r="V20" s="87">
        <f>'Request #42'!V20</f>
        <v>0</v>
      </c>
      <c r="W20" s="88">
        <f>SUMIF(F7:F79,9,E7:E79)</f>
        <v>0</v>
      </c>
      <c r="X20" s="88">
        <f>'Request #42'!Y20</f>
        <v>0</v>
      </c>
      <c r="Y20" s="88">
        <f t="shared" si="1"/>
        <v>0</v>
      </c>
      <c r="Z20" s="88">
        <f t="shared" si="2"/>
        <v>0</v>
      </c>
      <c r="AA20" s="88">
        <f>SUMIF(P7:P79,9,O7:O79)</f>
        <v>0</v>
      </c>
      <c r="AB20" s="50" t="str">
        <f>IF(W20&gt;='Request #42'!AA20,"OK","Alert,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197">
        <f t="shared" si="0"/>
        <v>15</v>
      </c>
      <c r="H21" s="198" t="str">
        <f t="shared" si="0"/>
        <v>Other Contracts</v>
      </c>
      <c r="I21" s="247">
        <f t="shared" si="0"/>
        <v>0</v>
      </c>
      <c r="K21" s="159"/>
      <c r="L21" s="157"/>
      <c r="M21" s="157"/>
      <c r="N21" s="154"/>
      <c r="O21" s="155"/>
      <c r="P21" s="158"/>
      <c r="R21" s="50" t="str">
        <f>IF(V21='Request #42'!V21,"OK","Send in Change Order")</f>
        <v>OK</v>
      </c>
      <c r="S21" s="85">
        <v>10</v>
      </c>
      <c r="T21" s="86" t="s">
        <v>71</v>
      </c>
      <c r="U21" s="218">
        <f>'Request #42'!U21</f>
        <v>0</v>
      </c>
      <c r="V21" s="87">
        <f>'Request #42'!V21</f>
        <v>0</v>
      </c>
      <c r="W21" s="88">
        <f>SUMIF(F7:F79,10,E7:E79)</f>
        <v>0</v>
      </c>
      <c r="X21" s="88">
        <f>'Request #42'!Y21</f>
        <v>0</v>
      </c>
      <c r="Y21" s="88">
        <f t="shared" si="1"/>
        <v>0</v>
      </c>
      <c r="Z21" s="88">
        <f t="shared" si="2"/>
        <v>0</v>
      </c>
      <c r="AA21" s="88">
        <f>SUMIF(P7:P79,10,O7:O79)</f>
        <v>0</v>
      </c>
      <c r="AB21" s="50" t="str">
        <f>IF(W21&gt;='Request #42'!AA21,"OK","Alert,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197">
        <f t="shared" si="0"/>
        <v>16</v>
      </c>
      <c r="H22" s="198" t="str">
        <f t="shared" si="0"/>
        <v>Other Contracts</v>
      </c>
      <c r="I22" s="247">
        <f t="shared" si="0"/>
        <v>0</v>
      </c>
      <c r="K22" s="159"/>
      <c r="L22" s="157"/>
      <c r="M22" s="157"/>
      <c r="N22" s="154"/>
      <c r="O22" s="155"/>
      <c r="P22" s="158"/>
      <c r="R22" s="50" t="str">
        <f>IF(V22='Request #42'!V22,"OK","Send in Change Order")</f>
        <v>OK</v>
      </c>
      <c r="S22" s="85">
        <v>11</v>
      </c>
      <c r="T22" s="86" t="s">
        <v>71</v>
      </c>
      <c r="U22" s="218">
        <f>'Request #42'!U22</f>
        <v>0</v>
      </c>
      <c r="V22" s="87">
        <f>'Request #42'!V22</f>
        <v>0</v>
      </c>
      <c r="W22" s="88">
        <f>SUMIF(F7:F79,11,E7:E79)</f>
        <v>0</v>
      </c>
      <c r="X22" s="88">
        <f>'Request #42'!Y22</f>
        <v>0</v>
      </c>
      <c r="Y22" s="88">
        <f t="shared" si="1"/>
        <v>0</v>
      </c>
      <c r="Z22" s="88">
        <f t="shared" si="2"/>
        <v>0</v>
      </c>
      <c r="AA22" s="88">
        <f>SUMIF(P7:P79,11,O7:O79)</f>
        <v>0</v>
      </c>
      <c r="AB22" s="50" t="str">
        <f>IF(W22&gt;='Request #42'!AA22,"OK","Alert,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197">
        <f t="shared" si="0"/>
        <v>17</v>
      </c>
      <c r="H23" s="198" t="str">
        <f t="shared" si="0"/>
        <v>Other Contracts</v>
      </c>
      <c r="I23" s="247">
        <f t="shared" si="0"/>
        <v>0</v>
      </c>
      <c r="K23" s="159"/>
      <c r="L23" s="157"/>
      <c r="M23" s="157"/>
      <c r="N23" s="154"/>
      <c r="O23" s="155"/>
      <c r="P23" s="158"/>
      <c r="R23" s="50" t="str">
        <f>IF(V23='Request #42'!V23,"OK","Send in Change Order")</f>
        <v>OK</v>
      </c>
      <c r="S23" s="85">
        <v>12</v>
      </c>
      <c r="T23" s="86" t="s">
        <v>71</v>
      </c>
      <c r="U23" s="218">
        <f>'Request #42'!U23</f>
        <v>0</v>
      </c>
      <c r="V23" s="87">
        <f>'Request #42'!V23</f>
        <v>0</v>
      </c>
      <c r="W23" s="88">
        <f>SUMIF(F7:F79,12,E7:E79)</f>
        <v>0</v>
      </c>
      <c r="X23" s="88">
        <f>'Request #42'!Y23</f>
        <v>0</v>
      </c>
      <c r="Y23" s="88">
        <f t="shared" si="1"/>
        <v>0</v>
      </c>
      <c r="Z23" s="88">
        <f t="shared" si="2"/>
        <v>0</v>
      </c>
      <c r="AA23" s="88">
        <f>SUMIF(P7:P79,12,O7:O79)</f>
        <v>0</v>
      </c>
      <c r="AB23" s="50" t="str">
        <f>IF(W23&gt;='Request #42'!AA23,"OK","Alert,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197">
        <f t="shared" ref="G24:I39" si="3">S29</f>
        <v>18</v>
      </c>
      <c r="H24" s="198" t="str">
        <f t="shared" si="3"/>
        <v>Other Contracts</v>
      </c>
      <c r="I24" s="247">
        <f t="shared" si="3"/>
        <v>0</v>
      </c>
      <c r="K24" s="159"/>
      <c r="L24" s="157"/>
      <c r="M24" s="157"/>
      <c r="N24" s="154"/>
      <c r="O24" s="155"/>
      <c r="P24" s="158"/>
      <c r="R24" s="50" t="str">
        <f>IF(V24='Request #42'!V24,"OK","Send in Change Order")</f>
        <v>OK</v>
      </c>
      <c r="S24" s="85">
        <v>13</v>
      </c>
      <c r="T24" s="86" t="s">
        <v>71</v>
      </c>
      <c r="U24" s="218">
        <f>'Request #42'!U24</f>
        <v>0</v>
      </c>
      <c r="V24" s="87">
        <f>'Request #42'!V24</f>
        <v>0</v>
      </c>
      <c r="W24" s="88">
        <f>SUMIF(F7:F79,13,E7:E79)</f>
        <v>0</v>
      </c>
      <c r="X24" s="88">
        <f>'Request #42'!Y24</f>
        <v>0</v>
      </c>
      <c r="Y24" s="88">
        <f t="shared" si="1"/>
        <v>0</v>
      </c>
      <c r="Z24" s="88">
        <f t="shared" si="2"/>
        <v>0</v>
      </c>
      <c r="AA24" s="88">
        <f>SUMIF(P7:P79,13,O7:O79)</f>
        <v>0</v>
      </c>
      <c r="AB24" s="50" t="str">
        <f>IF(W24&gt;='Request #42'!AA24,"OK","Alert,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197">
        <f t="shared" si="3"/>
        <v>19</v>
      </c>
      <c r="H25" s="198" t="str">
        <f t="shared" si="3"/>
        <v>Other Contracts</v>
      </c>
      <c r="I25" s="247">
        <f t="shared" si="3"/>
        <v>0</v>
      </c>
      <c r="K25" s="159"/>
      <c r="L25" s="157"/>
      <c r="M25" s="157"/>
      <c r="N25" s="154"/>
      <c r="O25" s="155"/>
      <c r="P25" s="158"/>
      <c r="R25" s="50" t="str">
        <f>IF(V25='Request #42'!V25,"OK","Send in Change Order")</f>
        <v>OK</v>
      </c>
      <c r="S25" s="85">
        <v>14</v>
      </c>
      <c r="T25" s="86" t="s">
        <v>71</v>
      </c>
      <c r="U25" s="218">
        <f>'Request #42'!U25</f>
        <v>0</v>
      </c>
      <c r="V25" s="87">
        <f>'Request #42'!V25</f>
        <v>0</v>
      </c>
      <c r="W25" s="88">
        <f>SUMIF(F7:F79,14,E7:E79)</f>
        <v>0</v>
      </c>
      <c r="X25" s="88">
        <f>'Request #42'!Y25</f>
        <v>0</v>
      </c>
      <c r="Y25" s="88">
        <f t="shared" si="1"/>
        <v>0</v>
      </c>
      <c r="Z25" s="88">
        <f t="shared" si="2"/>
        <v>0</v>
      </c>
      <c r="AA25" s="88">
        <f>SUMIF(P7:P79,14,O7:O79)</f>
        <v>0</v>
      </c>
      <c r="AB25" s="50" t="str">
        <f>IF(W25&gt;='Request #42'!AA25,"OK","Alert,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197">
        <f t="shared" si="3"/>
        <v>20</v>
      </c>
      <c r="H26" s="198" t="str">
        <f t="shared" si="3"/>
        <v>Other Contracts</v>
      </c>
      <c r="I26" s="247">
        <f t="shared" si="3"/>
        <v>0</v>
      </c>
      <c r="K26" s="159"/>
      <c r="L26" s="157"/>
      <c r="M26" s="157"/>
      <c r="N26" s="154"/>
      <c r="O26" s="155"/>
      <c r="P26" s="158"/>
      <c r="R26" s="50" t="str">
        <f>IF(V26='Request #42'!V26,"OK","Send in Change Order")</f>
        <v>OK</v>
      </c>
      <c r="S26" s="85">
        <v>15</v>
      </c>
      <c r="T26" s="86" t="s">
        <v>71</v>
      </c>
      <c r="U26" s="218">
        <f>'Request #42'!U26</f>
        <v>0</v>
      </c>
      <c r="V26" s="87">
        <f>'Request #42'!V26</f>
        <v>0</v>
      </c>
      <c r="W26" s="88">
        <f>SUMIF(F7:F79,15,E7:E79)</f>
        <v>0</v>
      </c>
      <c r="X26" s="88">
        <f>'Request #42'!Y26</f>
        <v>0</v>
      </c>
      <c r="Y26" s="88">
        <f t="shared" si="1"/>
        <v>0</v>
      </c>
      <c r="Z26" s="88">
        <f t="shared" si="2"/>
        <v>0</v>
      </c>
      <c r="AA26" s="88">
        <f>SUMIF(P7:P79,15,O7:O79)</f>
        <v>0</v>
      </c>
      <c r="AB26" s="50" t="str">
        <f>IF(W26&gt;='Request #42'!AA26,"OK","Alert,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197">
        <f t="shared" si="3"/>
        <v>21</v>
      </c>
      <c r="H27" s="198" t="str">
        <f t="shared" si="3"/>
        <v>Other Contracts</v>
      </c>
      <c r="I27" s="247">
        <f t="shared" si="3"/>
        <v>0</v>
      </c>
      <c r="K27" s="159"/>
      <c r="L27" s="157"/>
      <c r="M27" s="157"/>
      <c r="N27" s="154"/>
      <c r="O27" s="155"/>
      <c r="P27" s="158"/>
      <c r="R27" s="50" t="str">
        <f>IF(V27='Request #42'!V27,"OK","Send in Change Order")</f>
        <v>OK</v>
      </c>
      <c r="S27" s="85">
        <v>16</v>
      </c>
      <c r="T27" s="86" t="s">
        <v>71</v>
      </c>
      <c r="U27" s="218">
        <f>'Request #42'!U27</f>
        <v>0</v>
      </c>
      <c r="V27" s="87">
        <f>'Request #42'!V27</f>
        <v>0</v>
      </c>
      <c r="W27" s="88">
        <f>SUMIF(F7:F79,16,E7:E79)</f>
        <v>0</v>
      </c>
      <c r="X27" s="88">
        <f>'Request #42'!Y27</f>
        <v>0</v>
      </c>
      <c r="Y27" s="88">
        <f t="shared" si="1"/>
        <v>0</v>
      </c>
      <c r="Z27" s="88">
        <f t="shared" si="2"/>
        <v>0</v>
      </c>
      <c r="AA27" s="88">
        <f>SUMIF(P7:P79,16,O7:O79)</f>
        <v>0</v>
      </c>
      <c r="AB27" s="50" t="str">
        <f>IF(W27&gt;='Request #42'!AA27,"OK","Alert,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197">
        <f t="shared" si="3"/>
        <v>22</v>
      </c>
      <c r="H28" s="198" t="str">
        <f t="shared" si="3"/>
        <v>Other Contracts</v>
      </c>
      <c r="I28" s="247">
        <f t="shared" si="3"/>
        <v>0</v>
      </c>
      <c r="K28" s="159"/>
      <c r="L28" s="157"/>
      <c r="M28" s="157"/>
      <c r="N28" s="154"/>
      <c r="O28" s="155"/>
      <c r="P28" s="158"/>
      <c r="R28" s="50" t="str">
        <f>IF(V28='Request #42'!V28,"OK","Send in Change Order")</f>
        <v>OK</v>
      </c>
      <c r="S28" s="85">
        <v>17</v>
      </c>
      <c r="T28" s="86" t="s">
        <v>71</v>
      </c>
      <c r="U28" s="218">
        <f>'Request #42'!U28</f>
        <v>0</v>
      </c>
      <c r="V28" s="87">
        <f>'Request #42'!V28</f>
        <v>0</v>
      </c>
      <c r="W28" s="88">
        <f>SUMIF(F7:F79,17,E7:E79)</f>
        <v>0</v>
      </c>
      <c r="X28" s="88">
        <f>'Request #42'!Y28</f>
        <v>0</v>
      </c>
      <c r="Y28" s="88">
        <f t="shared" si="1"/>
        <v>0</v>
      </c>
      <c r="Z28" s="88">
        <f t="shared" si="2"/>
        <v>0</v>
      </c>
      <c r="AA28" s="88">
        <f>SUMIF(P7:P79,17,O7:O79)</f>
        <v>0</v>
      </c>
      <c r="AB28" s="50" t="str">
        <f>IF(W28&gt;='Request #42'!AA28,"OK","Alert,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197">
        <f t="shared" si="3"/>
        <v>23</v>
      </c>
      <c r="H29" s="198" t="str">
        <f t="shared" si="3"/>
        <v>Other Contracts</v>
      </c>
      <c r="I29" s="247">
        <f t="shared" si="3"/>
        <v>0</v>
      </c>
      <c r="K29" s="159"/>
      <c r="L29" s="157"/>
      <c r="M29" s="157"/>
      <c r="N29" s="154"/>
      <c r="O29" s="155"/>
      <c r="P29" s="158"/>
      <c r="R29" s="50" t="str">
        <f>IF(V29='Request #42'!V29,"OK","Send in Change Order")</f>
        <v>OK</v>
      </c>
      <c r="S29" s="85">
        <v>18</v>
      </c>
      <c r="T29" s="86" t="s">
        <v>71</v>
      </c>
      <c r="U29" s="218">
        <f>'Request #42'!U29</f>
        <v>0</v>
      </c>
      <c r="V29" s="87">
        <f>'Request #42'!V29</f>
        <v>0</v>
      </c>
      <c r="W29" s="88">
        <f>SUMIF(F7:F79,18,E7:E79)</f>
        <v>0</v>
      </c>
      <c r="X29" s="88">
        <f>'Request #42'!Y29</f>
        <v>0</v>
      </c>
      <c r="Y29" s="88">
        <f t="shared" si="1"/>
        <v>0</v>
      </c>
      <c r="Z29" s="88">
        <f t="shared" si="2"/>
        <v>0</v>
      </c>
      <c r="AA29" s="88">
        <f>SUMIF(P7:P79,18,O7:O79)</f>
        <v>0</v>
      </c>
      <c r="AB29" s="50" t="str">
        <f>IF(W29&gt;='Request #42'!AA29,"OK","Alert,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197">
        <f t="shared" si="3"/>
        <v>24</v>
      </c>
      <c r="H30" s="198" t="str">
        <f t="shared" si="3"/>
        <v>Other Contracts</v>
      </c>
      <c r="I30" s="247">
        <f t="shared" si="3"/>
        <v>0</v>
      </c>
      <c r="K30" s="159"/>
      <c r="L30" s="157"/>
      <c r="M30" s="157"/>
      <c r="N30" s="154"/>
      <c r="O30" s="155"/>
      <c r="P30" s="158"/>
      <c r="R30" s="50" t="str">
        <f>IF(V30='Request #42'!V30,"OK","Send in Change Order")</f>
        <v>OK</v>
      </c>
      <c r="S30" s="85">
        <v>19</v>
      </c>
      <c r="T30" s="86" t="s">
        <v>71</v>
      </c>
      <c r="U30" s="218">
        <f>'Request #42'!U30</f>
        <v>0</v>
      </c>
      <c r="V30" s="87">
        <f>'Request #42'!V30</f>
        <v>0</v>
      </c>
      <c r="W30" s="88">
        <f>SUMIF(F7:F79,19,E7:E79)</f>
        <v>0</v>
      </c>
      <c r="X30" s="88">
        <f>'Request #42'!Y30</f>
        <v>0</v>
      </c>
      <c r="Y30" s="88">
        <f t="shared" si="1"/>
        <v>0</v>
      </c>
      <c r="Z30" s="88">
        <f t="shared" si="2"/>
        <v>0</v>
      </c>
      <c r="AA30" s="88">
        <f>SUMIF(P7:P79,19,O7:O79)</f>
        <v>0</v>
      </c>
      <c r="AB30" s="50" t="str">
        <f>IF(W30&gt;='Request #42'!AA30,"OK","Alert,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197">
        <f t="shared" si="3"/>
        <v>25</v>
      </c>
      <c r="H31" s="198" t="str">
        <f t="shared" si="3"/>
        <v>Other Contracts</v>
      </c>
      <c r="I31" s="247">
        <f t="shared" si="3"/>
        <v>0</v>
      </c>
      <c r="K31" s="159"/>
      <c r="L31" s="157"/>
      <c r="M31" s="157"/>
      <c r="N31" s="154"/>
      <c r="O31" s="155"/>
      <c r="P31" s="158"/>
      <c r="R31" s="50" t="str">
        <f>IF(V31='Request #42'!V31,"OK","Send in Change Order")</f>
        <v>OK</v>
      </c>
      <c r="S31" s="85">
        <v>20</v>
      </c>
      <c r="T31" s="86" t="s">
        <v>71</v>
      </c>
      <c r="U31" s="218">
        <f>'Request #42'!U31</f>
        <v>0</v>
      </c>
      <c r="V31" s="87">
        <f>'Request #42'!V31</f>
        <v>0</v>
      </c>
      <c r="W31" s="88">
        <f>SUMIF(F7:F79,20,E7:E79)</f>
        <v>0</v>
      </c>
      <c r="X31" s="88">
        <f>'Request #42'!Y31</f>
        <v>0</v>
      </c>
      <c r="Y31" s="88">
        <f t="shared" si="1"/>
        <v>0</v>
      </c>
      <c r="Z31" s="88">
        <f t="shared" si="2"/>
        <v>0</v>
      </c>
      <c r="AA31" s="88">
        <f>SUMIF(P7:P79,20,O7:O79)</f>
        <v>0</v>
      </c>
      <c r="AB31" s="50" t="str">
        <f>IF(W31&gt;='Request #42'!AA31,"OK","Alert,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197">
        <f t="shared" si="3"/>
        <v>26</v>
      </c>
      <c r="H32" s="198" t="str">
        <f t="shared" si="3"/>
        <v>Other Fees</v>
      </c>
      <c r="I32" s="247">
        <f t="shared" si="3"/>
        <v>0</v>
      </c>
      <c r="K32" s="159"/>
      <c r="L32" s="157"/>
      <c r="M32" s="157"/>
      <c r="N32" s="154"/>
      <c r="O32" s="155"/>
      <c r="P32" s="158"/>
      <c r="R32" s="50" t="str">
        <f>IF(V32='Request #42'!V32,"OK","Send in Change Order")</f>
        <v>OK</v>
      </c>
      <c r="S32" s="85">
        <v>21</v>
      </c>
      <c r="T32" s="86" t="s">
        <v>71</v>
      </c>
      <c r="U32" s="218">
        <f>'Request #42'!U32</f>
        <v>0</v>
      </c>
      <c r="V32" s="87">
        <f>'Request #42'!V32</f>
        <v>0</v>
      </c>
      <c r="W32" s="88">
        <f>SUMIF(F7:F79,21,E7:E79)</f>
        <v>0</v>
      </c>
      <c r="X32" s="88">
        <f>'Request #42'!Y32</f>
        <v>0</v>
      </c>
      <c r="Y32" s="88">
        <f t="shared" si="1"/>
        <v>0</v>
      </c>
      <c r="Z32" s="88">
        <f t="shared" si="2"/>
        <v>0</v>
      </c>
      <c r="AA32" s="88">
        <f>SUMIF(P7:P79,21,O7:O79)</f>
        <v>0</v>
      </c>
      <c r="AB32" s="50" t="str">
        <f>IF(W32&gt;='Request #42'!AA32,"OK","Alert,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197">
        <f t="shared" si="3"/>
        <v>27</v>
      </c>
      <c r="H33" s="198" t="str">
        <f t="shared" si="3"/>
        <v>Other Fees</v>
      </c>
      <c r="I33" s="247">
        <f t="shared" si="3"/>
        <v>0</v>
      </c>
      <c r="K33" s="159"/>
      <c r="L33" s="157"/>
      <c r="M33" s="157"/>
      <c r="N33" s="154"/>
      <c r="O33" s="155"/>
      <c r="P33" s="158"/>
      <c r="R33" s="50" t="str">
        <f>IF(V33='Request #42'!V33,"OK","Send in Change Order")</f>
        <v>OK</v>
      </c>
      <c r="S33" s="85">
        <v>22</v>
      </c>
      <c r="T33" s="86" t="s">
        <v>71</v>
      </c>
      <c r="U33" s="218">
        <f>'Request #42'!U33</f>
        <v>0</v>
      </c>
      <c r="V33" s="87">
        <f>'Request #42'!V33</f>
        <v>0</v>
      </c>
      <c r="W33" s="88">
        <f>SUMIF(F7:F79,22,E7:E79)</f>
        <v>0</v>
      </c>
      <c r="X33" s="88">
        <f>'Request #42'!Y33</f>
        <v>0</v>
      </c>
      <c r="Y33" s="88">
        <f t="shared" si="1"/>
        <v>0</v>
      </c>
      <c r="Z33" s="88">
        <f t="shared" si="2"/>
        <v>0</v>
      </c>
      <c r="AA33" s="88">
        <f>SUMIF(P7:P79,22,O7:O79)</f>
        <v>0</v>
      </c>
      <c r="AB33" s="50" t="str">
        <f>IF(W33&gt;='Request #42'!AA33,"OK","Alert,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197">
        <f t="shared" si="3"/>
        <v>28</v>
      </c>
      <c r="H34" s="198" t="str">
        <f t="shared" si="3"/>
        <v>Other Fees</v>
      </c>
      <c r="I34" s="247">
        <f t="shared" si="3"/>
        <v>0</v>
      </c>
      <c r="K34" s="159"/>
      <c r="L34" s="157"/>
      <c r="M34" s="157"/>
      <c r="N34" s="154"/>
      <c r="O34" s="155"/>
      <c r="P34" s="158"/>
      <c r="R34" s="50" t="str">
        <f>IF(V34='Request #42'!V34,"OK","Send in Change Order")</f>
        <v>OK</v>
      </c>
      <c r="S34" s="85">
        <v>23</v>
      </c>
      <c r="T34" s="86" t="s">
        <v>71</v>
      </c>
      <c r="U34" s="218">
        <f>'Request #42'!U34</f>
        <v>0</v>
      </c>
      <c r="V34" s="87">
        <f>'Request #42'!V34</f>
        <v>0</v>
      </c>
      <c r="W34" s="88">
        <f>SUMIF(F7:F79,23,E7:E79)</f>
        <v>0</v>
      </c>
      <c r="X34" s="88">
        <f>'Request #42'!Y34</f>
        <v>0</v>
      </c>
      <c r="Y34" s="88">
        <f t="shared" si="1"/>
        <v>0</v>
      </c>
      <c r="Z34" s="88">
        <f t="shared" si="2"/>
        <v>0</v>
      </c>
      <c r="AA34" s="88">
        <f>SUMIF(P7:P79,23,O7:O79)</f>
        <v>0</v>
      </c>
      <c r="AB34" s="50" t="str">
        <f>IF(W34&gt;='Request #42'!AA34,"OK","Alert,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197">
        <f t="shared" si="3"/>
        <v>29</v>
      </c>
      <c r="H35" s="198" t="str">
        <f t="shared" si="3"/>
        <v>Other Fees</v>
      </c>
      <c r="I35" s="247">
        <f t="shared" si="3"/>
        <v>0</v>
      </c>
      <c r="K35" s="159"/>
      <c r="L35" s="157"/>
      <c r="M35" s="157"/>
      <c r="N35" s="154"/>
      <c r="O35" s="155"/>
      <c r="P35" s="158"/>
      <c r="R35" s="50" t="str">
        <f>IF(V36='Request #42'!V36,"OK","Send in Change Order")</f>
        <v>OK</v>
      </c>
      <c r="S35" s="85">
        <v>24</v>
      </c>
      <c r="T35" s="86" t="s">
        <v>71</v>
      </c>
      <c r="U35" s="218">
        <f>'Request #42'!U35</f>
        <v>0</v>
      </c>
      <c r="V35" s="87">
        <f>'Request #42'!V35</f>
        <v>0</v>
      </c>
      <c r="W35" s="88">
        <f>SUMIF(F7:F79,24,E7:E79)</f>
        <v>0</v>
      </c>
      <c r="X35" s="88">
        <f>'Request #42'!Y35</f>
        <v>0</v>
      </c>
      <c r="Y35" s="88">
        <f t="shared" si="1"/>
        <v>0</v>
      </c>
      <c r="Z35" s="88">
        <f t="shared" si="2"/>
        <v>0</v>
      </c>
      <c r="AA35" s="88">
        <f>SUMIF(P7:P79,24,O7:O79)</f>
        <v>0</v>
      </c>
      <c r="AB35" s="50" t="str">
        <f>IF(W36&gt;='Request #42'!AA36,"OK","Alert,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197">
        <f t="shared" si="3"/>
        <v>30</v>
      </c>
      <c r="H36" s="198" t="str">
        <f t="shared" si="3"/>
        <v>Other Fees</v>
      </c>
      <c r="I36" s="247">
        <f t="shared" si="3"/>
        <v>0</v>
      </c>
      <c r="K36" s="159"/>
      <c r="L36" s="157"/>
      <c r="M36" s="157"/>
      <c r="N36" s="154"/>
      <c r="O36" s="155"/>
      <c r="P36" s="158"/>
      <c r="R36" s="50" t="str">
        <f>IF(V36='Request #42'!V36,"OK","Send in Change Order")</f>
        <v>OK</v>
      </c>
      <c r="S36" s="85">
        <v>25</v>
      </c>
      <c r="T36" s="86" t="s">
        <v>71</v>
      </c>
      <c r="U36" s="218">
        <f>'Request #42'!U36</f>
        <v>0</v>
      </c>
      <c r="V36" s="87">
        <f>'Request #42'!V36</f>
        <v>0</v>
      </c>
      <c r="W36" s="88">
        <f>SUMIF(F7:F79,25,E7:E79)</f>
        <v>0</v>
      </c>
      <c r="X36" s="88">
        <f>'Request #42'!Y36</f>
        <v>0</v>
      </c>
      <c r="Y36" s="88">
        <f t="shared" si="1"/>
        <v>0</v>
      </c>
      <c r="Z36" s="88">
        <f t="shared" si="2"/>
        <v>0</v>
      </c>
      <c r="AA36" s="88">
        <f>SUMIF(P7:P79,25,O7:O79)</f>
        <v>0</v>
      </c>
      <c r="AB36" s="50" t="str">
        <f>IF(W36&gt;='Request #42'!AA36,"OK","Alert,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197">
        <f t="shared" si="3"/>
        <v>31</v>
      </c>
      <c r="H37" s="198" t="str">
        <f t="shared" si="3"/>
        <v>Other Fees</v>
      </c>
      <c r="I37" s="247">
        <f t="shared" si="3"/>
        <v>0</v>
      </c>
      <c r="K37" s="159"/>
      <c r="L37" s="157"/>
      <c r="M37" s="157"/>
      <c r="N37" s="154"/>
      <c r="O37" s="155"/>
      <c r="P37" s="158"/>
      <c r="R37" s="50" t="str">
        <f>IF(V37='Request #42'!V37,"OK","Send in Change Order")</f>
        <v>OK</v>
      </c>
      <c r="S37" s="85">
        <v>26</v>
      </c>
      <c r="T37" s="86" t="s">
        <v>82</v>
      </c>
      <c r="U37" s="218">
        <f>'Request #42'!U37</f>
        <v>0</v>
      </c>
      <c r="V37" s="87">
        <f>'Request #42'!V37</f>
        <v>0</v>
      </c>
      <c r="W37" s="88">
        <f>SUMIF(F7:F79,26,E7:E79)</f>
        <v>0</v>
      </c>
      <c r="X37" s="88">
        <f>'Request #42'!Y37</f>
        <v>0</v>
      </c>
      <c r="Y37" s="88">
        <f t="shared" si="1"/>
        <v>0</v>
      </c>
      <c r="Z37" s="88">
        <f t="shared" si="2"/>
        <v>0</v>
      </c>
      <c r="AA37" s="88">
        <f>SUMIF(P7:P79,26,O7:O79)</f>
        <v>0</v>
      </c>
      <c r="AB37" s="50" t="str">
        <f>IF(W37&gt;='Request #42'!AA37,"OK","Alert,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197">
        <f t="shared" si="3"/>
        <v>32</v>
      </c>
      <c r="H38" s="198" t="str">
        <f t="shared" si="3"/>
        <v>Other Fees</v>
      </c>
      <c r="I38" s="247">
        <f t="shared" si="3"/>
        <v>0</v>
      </c>
      <c r="K38" s="159"/>
      <c r="L38" s="157"/>
      <c r="M38" s="157"/>
      <c r="N38" s="154"/>
      <c r="O38" s="155"/>
      <c r="P38" s="158"/>
      <c r="R38" s="50" t="str">
        <f>IF(V38='Request #42'!V38,"OK","Send in Change Order")</f>
        <v>OK</v>
      </c>
      <c r="S38" s="85">
        <v>27</v>
      </c>
      <c r="T38" s="86" t="s">
        <v>82</v>
      </c>
      <c r="U38" s="218">
        <f>'Request #42'!U38</f>
        <v>0</v>
      </c>
      <c r="V38" s="87">
        <f>'Request #42'!V38</f>
        <v>0</v>
      </c>
      <c r="W38" s="88">
        <f>SUMIF(F7:F79,27,E7:E79)</f>
        <v>0</v>
      </c>
      <c r="X38" s="88">
        <f>'Request #42'!Y38</f>
        <v>0</v>
      </c>
      <c r="Y38" s="88">
        <f t="shared" si="1"/>
        <v>0</v>
      </c>
      <c r="Z38" s="88">
        <f t="shared" si="2"/>
        <v>0</v>
      </c>
      <c r="AA38" s="88">
        <f>SUMIF(P7:P79,27,O7:O79)</f>
        <v>0</v>
      </c>
      <c r="AB38" s="50" t="str">
        <f>IF(W38&gt;='Request #42'!AA38,"OK","Alert,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197">
        <f t="shared" si="3"/>
        <v>33</v>
      </c>
      <c r="H39" s="198" t="str">
        <f t="shared" si="3"/>
        <v>Other Fees</v>
      </c>
      <c r="I39" s="247">
        <f t="shared" si="3"/>
        <v>0</v>
      </c>
      <c r="K39" s="159"/>
      <c r="L39" s="157"/>
      <c r="M39" s="157"/>
      <c r="N39" s="154"/>
      <c r="O39" s="155"/>
      <c r="P39" s="158"/>
      <c r="R39" s="50" t="str">
        <f>IF(V39='Request #42'!V39,"OK","Send in Change Order")</f>
        <v>OK</v>
      </c>
      <c r="S39" s="85">
        <v>28</v>
      </c>
      <c r="T39" s="86" t="s">
        <v>82</v>
      </c>
      <c r="U39" s="218">
        <f>'Request #42'!U39</f>
        <v>0</v>
      </c>
      <c r="V39" s="87">
        <f>'Request #42'!V39</f>
        <v>0</v>
      </c>
      <c r="W39" s="88">
        <f>SUMIF(F7:F79,28,E7:E79)</f>
        <v>0</v>
      </c>
      <c r="X39" s="88">
        <f>'Request #42'!Y39</f>
        <v>0</v>
      </c>
      <c r="Y39" s="88">
        <f t="shared" si="1"/>
        <v>0</v>
      </c>
      <c r="Z39" s="88">
        <f t="shared" si="2"/>
        <v>0</v>
      </c>
      <c r="AA39" s="88">
        <f>SUMIF(P7:P79,28,O7:O79)</f>
        <v>0</v>
      </c>
      <c r="AB39" s="50" t="str">
        <f>IF(W39&gt;='Request #42'!AA39,"OK","Alert,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197">
        <f t="shared" ref="G40:I55" si="4">S45</f>
        <v>0</v>
      </c>
      <c r="H40" s="198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#42'!V40,"OK","Send in Change Order")</f>
        <v>OK</v>
      </c>
      <c r="S40" s="85">
        <v>29</v>
      </c>
      <c r="T40" s="86" t="s">
        <v>82</v>
      </c>
      <c r="U40" s="218">
        <f>'Request #42'!U40</f>
        <v>0</v>
      </c>
      <c r="V40" s="87">
        <f>'Request #42'!V40</f>
        <v>0</v>
      </c>
      <c r="W40" s="88">
        <f>SUMIF(F7:F79,29,E7:E79)</f>
        <v>0</v>
      </c>
      <c r="X40" s="88">
        <f>'Request #42'!Y40</f>
        <v>0</v>
      </c>
      <c r="Y40" s="88">
        <f t="shared" si="1"/>
        <v>0</v>
      </c>
      <c r="Z40" s="88">
        <f t="shared" si="2"/>
        <v>0</v>
      </c>
      <c r="AA40" s="88">
        <f>SUMIF(P7:P79,29,O7:O79)</f>
        <v>0</v>
      </c>
      <c r="AB40" s="50" t="str">
        <f>IF(W40&gt;='Request #42'!AA40,"OK","Alert,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197" t="str">
        <f t="shared" si="4"/>
        <v>Cost</v>
      </c>
      <c r="H41" s="198">
        <f t="shared" si="4"/>
        <v>0</v>
      </c>
      <c r="I41" s="247">
        <f t="shared" si="4"/>
        <v>0</v>
      </c>
      <c r="K41" s="159"/>
      <c r="L41" s="157"/>
      <c r="M41" s="157"/>
      <c r="N41" s="154"/>
      <c r="O41" s="155"/>
      <c r="P41" s="158"/>
      <c r="R41" s="50" t="str">
        <f>IF(V41='Request #42'!V41,"OK","Send in Change Order")</f>
        <v>OK</v>
      </c>
      <c r="S41" s="85">
        <v>30</v>
      </c>
      <c r="T41" s="86" t="s">
        <v>82</v>
      </c>
      <c r="U41" s="218">
        <f>'Request #42'!U41</f>
        <v>0</v>
      </c>
      <c r="V41" s="87">
        <f>'Request #42'!V41</f>
        <v>0</v>
      </c>
      <c r="W41" s="88">
        <f>SUMIF(F7:F79,30,E7:E79)</f>
        <v>0</v>
      </c>
      <c r="X41" s="88">
        <f>'Request #42'!Y41</f>
        <v>0</v>
      </c>
      <c r="Y41" s="88">
        <f t="shared" si="1"/>
        <v>0</v>
      </c>
      <c r="Z41" s="88">
        <f t="shared" si="2"/>
        <v>0</v>
      </c>
      <c r="AA41" s="88">
        <f>SUMIF(P7:P79,30,O7:O79)</f>
        <v>0</v>
      </c>
      <c r="AB41" s="50" t="str">
        <f>IF(W41&gt;='Request #42'!AA41,"OK","Alert,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197" t="str">
        <f t="shared" si="4"/>
        <v>Item</v>
      </c>
      <c r="H42" s="198" t="str">
        <f t="shared" si="4"/>
        <v>Account Name</v>
      </c>
      <c r="I42" s="247">
        <f t="shared" si="4"/>
        <v>0</v>
      </c>
      <c r="K42" s="159"/>
      <c r="L42" s="157"/>
      <c r="M42" s="157"/>
      <c r="N42" s="154"/>
      <c r="O42" s="155"/>
      <c r="P42" s="158"/>
      <c r="R42" s="50" t="str">
        <f>IF(V42='Request #42'!V42,"OK","Send in Change Order")</f>
        <v>OK</v>
      </c>
      <c r="S42" s="85">
        <v>31</v>
      </c>
      <c r="T42" s="86" t="s">
        <v>82</v>
      </c>
      <c r="U42" s="218">
        <f>'Request #42'!U42</f>
        <v>0</v>
      </c>
      <c r="V42" s="87">
        <f>'Request #42'!V42</f>
        <v>0</v>
      </c>
      <c r="W42" s="88">
        <f>SUMIF(F7:F79,31,E7:E79)</f>
        <v>0</v>
      </c>
      <c r="X42" s="88">
        <f>'Request #42'!Y42</f>
        <v>0</v>
      </c>
      <c r="Y42" s="88">
        <f t="shared" si="1"/>
        <v>0</v>
      </c>
      <c r="Z42" s="88">
        <f t="shared" si="2"/>
        <v>0</v>
      </c>
      <c r="AA42" s="88">
        <f>SUMIF(P7:P79,31,O7:O79)</f>
        <v>0</v>
      </c>
      <c r="AB42" s="50" t="str">
        <f>IF(W42&gt;='Request #42'!AA42,"OK","Alert,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197">
        <f t="shared" si="4"/>
        <v>0</v>
      </c>
      <c r="H43" s="198">
        <f t="shared" si="4"/>
        <v>0</v>
      </c>
      <c r="I43" s="247">
        <f t="shared" si="4"/>
        <v>0</v>
      </c>
      <c r="K43" s="159"/>
      <c r="L43" s="157"/>
      <c r="M43" s="157"/>
      <c r="N43" s="154"/>
      <c r="O43" s="155"/>
      <c r="P43" s="158"/>
      <c r="R43" s="50" t="str">
        <f>IF(V43='Request #42'!V43,"OK","Send in Change Order")</f>
        <v>OK</v>
      </c>
      <c r="S43" s="85">
        <v>32</v>
      </c>
      <c r="T43" s="86" t="s">
        <v>82</v>
      </c>
      <c r="U43" s="218">
        <f>'Request #42'!U43</f>
        <v>0</v>
      </c>
      <c r="V43" s="87">
        <f>'Request #42'!V43</f>
        <v>0</v>
      </c>
      <c r="W43" s="88">
        <f>SUMIF(F7:F79,32,E7:E79)</f>
        <v>0</v>
      </c>
      <c r="X43" s="88">
        <f>'Request #42'!Y43</f>
        <v>0</v>
      </c>
      <c r="Y43" s="88">
        <f t="shared" si="1"/>
        <v>0</v>
      </c>
      <c r="Z43" s="88">
        <f t="shared" si="2"/>
        <v>0</v>
      </c>
      <c r="AA43" s="88">
        <f>SUMIF(P7:P79,32,O7:O79)</f>
        <v>0</v>
      </c>
      <c r="AB43" s="50" t="str">
        <f>IF(W43&gt;='Request #42'!AA43,"OK","Alert,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197">
        <f t="shared" si="4"/>
        <v>38</v>
      </c>
      <c r="H44" s="198" t="str">
        <f t="shared" si="4"/>
        <v>Other Fees</v>
      </c>
      <c r="I44" s="247">
        <f t="shared" si="4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#42'!V44,"OK","Send in Change Order")</f>
        <v>OK</v>
      </c>
      <c r="S44" s="85">
        <v>33</v>
      </c>
      <c r="T44" s="86" t="s">
        <v>82</v>
      </c>
      <c r="U44" s="218">
        <f>'Request #42'!U44</f>
        <v>0</v>
      </c>
      <c r="V44" s="87">
        <f>'Request #42'!V44</f>
        <v>0</v>
      </c>
      <c r="W44" s="88">
        <f>SUMIF(F7:F79,33,E7:E79)</f>
        <v>0</v>
      </c>
      <c r="X44" s="88">
        <f>'Request #42'!Y44</f>
        <v>0</v>
      </c>
      <c r="Y44" s="88">
        <f t="shared" si="1"/>
        <v>0</v>
      </c>
      <c r="Z44" s="88">
        <f t="shared" si="2"/>
        <v>0</v>
      </c>
      <c r="AA44" s="88">
        <f>SUMIF(P7:P79,33,O7:O79)</f>
        <v>0</v>
      </c>
      <c r="AB44" s="50" t="str">
        <f>IF(W44&gt;='Request #42'!AA44,"OK","Alert,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4"/>
        <v>39</v>
      </c>
      <c r="H45" s="205" t="str">
        <f t="shared" si="4"/>
        <v>Other Fees</v>
      </c>
      <c r="I45" s="247">
        <f t="shared" si="4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4"/>
        <v>40</v>
      </c>
      <c r="H46" s="205" t="str">
        <f t="shared" si="4"/>
        <v>Other Fees</v>
      </c>
      <c r="I46" s="247">
        <f t="shared" si="4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197">
        <f t="shared" si="4"/>
        <v>41</v>
      </c>
      <c r="H47" s="198" t="str">
        <f t="shared" si="4"/>
        <v>Other Fees</v>
      </c>
      <c r="I47" s="247">
        <f t="shared" si="4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197">
        <f t="shared" si="4"/>
        <v>42</v>
      </c>
      <c r="H48" s="198" t="str">
        <f t="shared" si="4"/>
        <v>Other Fees</v>
      </c>
      <c r="I48" s="247">
        <f t="shared" si="4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197">
        <f t="shared" si="4"/>
        <v>43</v>
      </c>
      <c r="H49" s="198" t="str">
        <f t="shared" si="4"/>
        <v>Other Fees</v>
      </c>
      <c r="I49" s="247">
        <f t="shared" si="4"/>
        <v>0</v>
      </c>
      <c r="K49" s="159"/>
      <c r="L49" s="157"/>
      <c r="M49" s="157"/>
      <c r="N49" s="154"/>
      <c r="O49" s="155"/>
      <c r="P49" s="158"/>
      <c r="R49" s="50" t="str">
        <f>IF(V49='Request #42'!V49,"OK","Send in Change Order")</f>
        <v>OK</v>
      </c>
      <c r="S49" s="85">
        <v>38</v>
      </c>
      <c r="T49" s="86" t="s">
        <v>82</v>
      </c>
      <c r="U49" s="218">
        <f>'Request #42'!U49</f>
        <v>0</v>
      </c>
      <c r="V49" s="87">
        <f>'Request #42'!V49</f>
        <v>0</v>
      </c>
      <c r="W49" s="88">
        <f>SUMIF(F7:F79,38,E7:E79)</f>
        <v>0</v>
      </c>
      <c r="X49" s="88">
        <f>'Request #42'!Y49</f>
        <v>0</v>
      </c>
      <c r="Y49" s="88">
        <f t="shared" si="1"/>
        <v>0</v>
      </c>
      <c r="Z49" s="88">
        <f t="shared" si="2"/>
        <v>0</v>
      </c>
      <c r="AA49" s="88">
        <f>SUMIF(P7:P79,38,O7:O79)</f>
        <v>0</v>
      </c>
      <c r="AB49" s="50" t="str">
        <f>IF(W49&gt;='Request #42'!AA49,"OK","Alert,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197">
        <f t="shared" si="4"/>
        <v>44</v>
      </c>
      <c r="H50" s="198" t="str">
        <f t="shared" si="4"/>
        <v>Other Fees</v>
      </c>
      <c r="I50" s="247">
        <f t="shared" si="4"/>
        <v>0</v>
      </c>
      <c r="K50" s="159"/>
      <c r="L50" s="157"/>
      <c r="M50" s="157"/>
      <c r="N50" s="154"/>
      <c r="O50" s="155"/>
      <c r="P50" s="158"/>
      <c r="R50" s="50" t="str">
        <f>IF(V50='Request #42'!V50,"OK","Send in Change Order")</f>
        <v>OK</v>
      </c>
      <c r="S50" s="85">
        <v>39</v>
      </c>
      <c r="T50" s="86" t="s">
        <v>82</v>
      </c>
      <c r="U50" s="218">
        <f>'Request #42'!U50</f>
        <v>0</v>
      </c>
      <c r="V50" s="87">
        <f>'Request #42'!V50</f>
        <v>0</v>
      </c>
      <c r="W50" s="88">
        <f>SUMIF(F7:F79,39,E7:E79)</f>
        <v>0</v>
      </c>
      <c r="X50" s="88">
        <f>'Request #42'!Y50</f>
        <v>0</v>
      </c>
      <c r="Y50" s="88">
        <f t="shared" si="1"/>
        <v>0</v>
      </c>
      <c r="Z50" s="88">
        <f t="shared" si="2"/>
        <v>0</v>
      </c>
      <c r="AA50" s="88">
        <f>SUMIF(P7:P79,39,O7:O79)</f>
        <v>0</v>
      </c>
      <c r="AB50" s="50" t="str">
        <f>IF(W50&gt;='Request #42'!AA50,"OK","Alert,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197">
        <f t="shared" si="4"/>
        <v>45</v>
      </c>
      <c r="H51" s="198" t="str">
        <f t="shared" si="4"/>
        <v>Other Fees</v>
      </c>
      <c r="I51" s="247">
        <f t="shared" si="4"/>
        <v>0</v>
      </c>
      <c r="K51" s="159"/>
      <c r="L51" s="157"/>
      <c r="M51" s="157"/>
      <c r="N51" s="154"/>
      <c r="O51" s="155"/>
      <c r="P51" s="158"/>
      <c r="R51" s="50" t="str">
        <f>IF(V51='Request #42'!V51,"OK","Send in Change Order")</f>
        <v>OK</v>
      </c>
      <c r="S51" s="85">
        <v>40</v>
      </c>
      <c r="T51" s="86" t="s">
        <v>82</v>
      </c>
      <c r="U51" s="218">
        <f>'Request #42'!U51</f>
        <v>0</v>
      </c>
      <c r="V51" s="87">
        <f>'Request #42'!V51</f>
        <v>0</v>
      </c>
      <c r="W51" s="88">
        <f>SUMIF(F7:F79,40,E7:E79)</f>
        <v>0</v>
      </c>
      <c r="X51" s="88">
        <f>'Request #42'!Y51</f>
        <v>0</v>
      </c>
      <c r="Y51" s="88">
        <f t="shared" si="1"/>
        <v>0</v>
      </c>
      <c r="Z51" s="88">
        <f t="shared" si="2"/>
        <v>0</v>
      </c>
      <c r="AA51" s="88">
        <f>SUMIF(P7:P79,40,O7:O79)</f>
        <v>0</v>
      </c>
      <c r="AB51" s="50" t="str">
        <f>IF(W51&gt;='Request #42'!AA51,"OK","Alert,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197">
        <f t="shared" si="4"/>
        <v>46</v>
      </c>
      <c r="H52" s="198" t="str">
        <f t="shared" si="4"/>
        <v>Other Fees</v>
      </c>
      <c r="I52" s="247">
        <f t="shared" si="4"/>
        <v>0</v>
      </c>
      <c r="K52" s="159"/>
      <c r="L52" s="157"/>
      <c r="M52" s="157"/>
      <c r="N52" s="154"/>
      <c r="O52" s="155"/>
      <c r="P52" s="158"/>
      <c r="R52" s="50" t="str">
        <f>IF(V52='Request #42'!V52,"OK","Send in Change Order")</f>
        <v>OK</v>
      </c>
      <c r="S52" s="85">
        <v>41</v>
      </c>
      <c r="T52" s="86" t="s">
        <v>82</v>
      </c>
      <c r="U52" s="218">
        <f>'Request #42'!U52</f>
        <v>0</v>
      </c>
      <c r="V52" s="87">
        <f>'Request #42'!V52</f>
        <v>0</v>
      </c>
      <c r="W52" s="88">
        <f>SUMIF(F7:F79,41,E7:E79)</f>
        <v>0</v>
      </c>
      <c r="X52" s="88">
        <f>'Request #42'!Y52</f>
        <v>0</v>
      </c>
      <c r="Y52" s="88">
        <f t="shared" si="1"/>
        <v>0</v>
      </c>
      <c r="Z52" s="88">
        <f t="shared" si="2"/>
        <v>0</v>
      </c>
      <c r="AA52" s="88">
        <f>SUMIF(P7:P79,41,O7:O79)</f>
        <v>0</v>
      </c>
      <c r="AB52" s="50" t="str">
        <f>IF(W52&gt;='Request #42'!AA52,"OK","Alert,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197">
        <f t="shared" si="4"/>
        <v>47</v>
      </c>
      <c r="H53" s="198" t="str">
        <f t="shared" si="4"/>
        <v>Other Fees</v>
      </c>
      <c r="I53" s="247">
        <f t="shared" si="4"/>
        <v>0</v>
      </c>
      <c r="K53" s="159"/>
      <c r="L53" s="157"/>
      <c r="M53" s="157"/>
      <c r="N53" s="154"/>
      <c r="O53" s="155"/>
      <c r="P53" s="158"/>
      <c r="R53" s="50" t="str">
        <f>IF(V53='Request #42'!V53,"OK","Send in Change Order")</f>
        <v>OK</v>
      </c>
      <c r="S53" s="85">
        <v>42</v>
      </c>
      <c r="T53" s="86" t="s">
        <v>82</v>
      </c>
      <c r="U53" s="218">
        <f>'Request #42'!U53</f>
        <v>0</v>
      </c>
      <c r="V53" s="87">
        <f>'Request #42'!V53</f>
        <v>0</v>
      </c>
      <c r="W53" s="88">
        <f>SUMIF(F7:F79,42,E7:E79)</f>
        <v>0</v>
      </c>
      <c r="X53" s="88">
        <f>'Request #42'!Y53</f>
        <v>0</v>
      </c>
      <c r="Y53" s="88">
        <f t="shared" si="1"/>
        <v>0</v>
      </c>
      <c r="Z53" s="88">
        <f t="shared" si="2"/>
        <v>0</v>
      </c>
      <c r="AA53" s="88">
        <f>SUMIF(P7:P79,42,O7:O79)</f>
        <v>0</v>
      </c>
      <c r="AB53" s="50" t="str">
        <f>IF(W53&gt;='Request #42'!AA53,"OK","Alert,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197">
        <f t="shared" si="4"/>
        <v>48</v>
      </c>
      <c r="H54" s="198" t="str">
        <f t="shared" si="4"/>
        <v>Other Fees</v>
      </c>
      <c r="I54" s="247">
        <f t="shared" si="4"/>
        <v>0</v>
      </c>
      <c r="K54" s="159"/>
      <c r="L54" s="157"/>
      <c r="M54" s="157"/>
      <c r="N54" s="154"/>
      <c r="O54" s="155"/>
      <c r="P54" s="158"/>
      <c r="R54" s="50" t="str">
        <f>IF(V54='Request #42'!V54,"OK","Send in Change Order")</f>
        <v>OK</v>
      </c>
      <c r="S54" s="85">
        <v>43</v>
      </c>
      <c r="T54" s="86" t="s">
        <v>82</v>
      </c>
      <c r="U54" s="218">
        <f>'Request #42'!U54</f>
        <v>0</v>
      </c>
      <c r="V54" s="87">
        <f>'Request #42'!V54</f>
        <v>0</v>
      </c>
      <c r="W54" s="88">
        <f>SUMIF(F7:F79,43,E7:E79)</f>
        <v>0</v>
      </c>
      <c r="X54" s="88">
        <f>'Request #42'!Y54</f>
        <v>0</v>
      </c>
      <c r="Y54" s="88">
        <f t="shared" si="1"/>
        <v>0</v>
      </c>
      <c r="Z54" s="88">
        <f t="shared" si="2"/>
        <v>0</v>
      </c>
      <c r="AA54" s="88">
        <f>SUMIF(P7:P79,43,O7:O79)</f>
        <v>0</v>
      </c>
      <c r="AB54" s="50" t="str">
        <f>IF(W54&gt;='Request #42'!AA54,"OK","Alert,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197">
        <f t="shared" si="4"/>
        <v>49</v>
      </c>
      <c r="H55" s="198" t="str">
        <f t="shared" si="4"/>
        <v>Other Fees</v>
      </c>
      <c r="I55" s="247">
        <f t="shared" si="4"/>
        <v>0</v>
      </c>
      <c r="K55" s="159"/>
      <c r="L55" s="157"/>
      <c r="M55" s="157"/>
      <c r="N55" s="154"/>
      <c r="O55" s="155"/>
      <c r="P55" s="158"/>
      <c r="R55" s="50" t="str">
        <f>IF(V55='Request #42'!V55,"OK","Send in Change Order")</f>
        <v>OK</v>
      </c>
      <c r="S55" s="85">
        <v>44</v>
      </c>
      <c r="T55" s="86" t="s">
        <v>82</v>
      </c>
      <c r="U55" s="218">
        <f>'Request #42'!U55</f>
        <v>0</v>
      </c>
      <c r="V55" s="87">
        <f>'Request #42'!V55</f>
        <v>0</v>
      </c>
      <c r="W55" s="88">
        <f>SUMIF(F7:F79,44,E7:E79)</f>
        <v>0</v>
      </c>
      <c r="X55" s="88">
        <f>'Request #42'!Y55</f>
        <v>0</v>
      </c>
      <c r="Y55" s="88">
        <f t="shared" si="1"/>
        <v>0</v>
      </c>
      <c r="Z55" s="88">
        <f t="shared" si="2"/>
        <v>0</v>
      </c>
      <c r="AA55" s="88">
        <f>SUMIF(P7:P79,44,O7:O79)</f>
        <v>0</v>
      </c>
      <c r="AB55" s="50" t="str">
        <f>IF(W55&gt;='Request #42'!AA55,"OK","Alert,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197">
        <f t="shared" ref="G56:I62" si="5">S61</f>
        <v>50</v>
      </c>
      <c r="H56" s="198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#42'!V56,"OK","Send in Change Order")</f>
        <v>OK</v>
      </c>
      <c r="S56" s="85">
        <v>45</v>
      </c>
      <c r="T56" s="86" t="s">
        <v>82</v>
      </c>
      <c r="U56" s="218">
        <f>'Request #42'!U56</f>
        <v>0</v>
      </c>
      <c r="V56" s="87">
        <f>'Request #42'!V56</f>
        <v>0</v>
      </c>
      <c r="W56" s="88">
        <f>SUMIF(F7:F79,45,E7:E79)</f>
        <v>0</v>
      </c>
      <c r="X56" s="88">
        <f>'Request #42'!Y56</f>
        <v>0</v>
      </c>
      <c r="Y56" s="88">
        <f t="shared" si="1"/>
        <v>0</v>
      </c>
      <c r="Z56" s="88">
        <f t="shared" si="2"/>
        <v>0</v>
      </c>
      <c r="AA56" s="88">
        <f>SUMIF(P7:P79,45,O7:O79)</f>
        <v>0</v>
      </c>
      <c r="AB56" s="50" t="str">
        <f>IF(W56&gt;='Request #42'!AA56,"OK","Alert,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197">
        <f t="shared" si="5"/>
        <v>51</v>
      </c>
      <c r="H57" s="198" t="str">
        <f t="shared" si="5"/>
        <v>Other Fees</v>
      </c>
      <c r="I57" s="247">
        <f t="shared" si="5"/>
        <v>0</v>
      </c>
      <c r="K57" s="159"/>
      <c r="L57" s="157"/>
      <c r="M57" s="157"/>
      <c r="N57" s="154"/>
      <c r="O57" s="155"/>
      <c r="P57" s="158"/>
      <c r="R57" s="50" t="str">
        <f>IF(V57='Request #42'!V57,"OK","Send in Change Order")</f>
        <v>OK</v>
      </c>
      <c r="S57" s="85">
        <v>46</v>
      </c>
      <c r="T57" s="86" t="s">
        <v>82</v>
      </c>
      <c r="U57" s="218">
        <f>'Request #42'!U57</f>
        <v>0</v>
      </c>
      <c r="V57" s="87">
        <f>'Request #42'!V57</f>
        <v>0</v>
      </c>
      <c r="W57" s="88">
        <f>SUMIF(F7:F79,46,E7:E79)</f>
        <v>0</v>
      </c>
      <c r="X57" s="88">
        <f>'Request #42'!Y57</f>
        <v>0</v>
      </c>
      <c r="Y57" s="88">
        <f t="shared" si="1"/>
        <v>0</v>
      </c>
      <c r="Z57" s="88">
        <f t="shared" si="2"/>
        <v>0</v>
      </c>
      <c r="AA57" s="88">
        <f>SUMIF(P7:P79,46,O7:O79)</f>
        <v>0</v>
      </c>
      <c r="AB57" s="50" t="str">
        <f>IF(W57&gt;='Request #42'!AA57,"OK","Alert,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197">
        <f t="shared" si="5"/>
        <v>52</v>
      </c>
      <c r="H58" s="198" t="str">
        <f t="shared" si="5"/>
        <v>Worked Performed by Owner</v>
      </c>
      <c r="I58" s="247">
        <f t="shared" si="5"/>
        <v>0</v>
      </c>
      <c r="K58" s="159"/>
      <c r="L58" s="157"/>
      <c r="M58" s="157"/>
      <c r="N58" s="154"/>
      <c r="O58" s="155"/>
      <c r="P58" s="158"/>
      <c r="R58" s="50" t="str">
        <f>IF(V58='Request #42'!V58,"OK","Send in Change Order")</f>
        <v>OK</v>
      </c>
      <c r="S58" s="85">
        <v>47</v>
      </c>
      <c r="T58" s="86" t="s">
        <v>82</v>
      </c>
      <c r="U58" s="218">
        <f>'Request #42'!U58</f>
        <v>0</v>
      </c>
      <c r="V58" s="87">
        <f>'Request #42'!V58</f>
        <v>0</v>
      </c>
      <c r="W58" s="88">
        <f>SUMIF(F7:F79,47,E7:E79)</f>
        <v>0</v>
      </c>
      <c r="X58" s="88">
        <f>'Request #42'!Y58</f>
        <v>0</v>
      </c>
      <c r="Y58" s="88">
        <f t="shared" si="1"/>
        <v>0</v>
      </c>
      <c r="Z58" s="88">
        <f t="shared" si="2"/>
        <v>0</v>
      </c>
      <c r="AA58" s="88">
        <f>SUMIF(P7:P79,47,O7:O79)</f>
        <v>0</v>
      </c>
      <c r="AB58" s="50" t="str">
        <f>IF(W58&gt;='Request #42'!AA58,"OK","Alert,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197">
        <f t="shared" si="5"/>
        <v>53</v>
      </c>
      <c r="H59" s="198" t="str">
        <f t="shared" si="5"/>
        <v>Equipment (Major)</v>
      </c>
      <c r="I59" s="247">
        <f t="shared" si="5"/>
        <v>0</v>
      </c>
      <c r="K59" s="159"/>
      <c r="L59" s="157"/>
      <c r="M59" s="157"/>
      <c r="N59" s="154"/>
      <c r="O59" s="155"/>
      <c r="P59" s="158"/>
      <c r="R59" s="50" t="str">
        <f>IF(V59='Request #42'!V59,"OK","Send in Change Order")</f>
        <v>OK</v>
      </c>
      <c r="S59" s="85">
        <v>48</v>
      </c>
      <c r="T59" s="86" t="s">
        <v>82</v>
      </c>
      <c r="U59" s="218">
        <f>'Request #42'!U59</f>
        <v>0</v>
      </c>
      <c r="V59" s="87">
        <f>'Request #42'!V59</f>
        <v>0</v>
      </c>
      <c r="W59" s="88">
        <f>SUMIF(F7:F79,48,E7:E79)</f>
        <v>0</v>
      </c>
      <c r="X59" s="88">
        <f>'Request #42'!Y59</f>
        <v>0</v>
      </c>
      <c r="Y59" s="88">
        <f t="shared" si="1"/>
        <v>0</v>
      </c>
      <c r="Z59" s="88">
        <f t="shared" si="2"/>
        <v>0</v>
      </c>
      <c r="AA59" s="88">
        <f>SUMIF(P7:P79,48,O7:O79)</f>
        <v>0</v>
      </c>
      <c r="AB59" s="50" t="str">
        <f>IF(W59&gt;='Request #42'!AA59,"OK","Alert,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197">
        <f t="shared" si="5"/>
        <v>54</v>
      </c>
      <c r="H60" s="198" t="str">
        <f t="shared" si="5"/>
        <v>Contingency Fund</v>
      </c>
      <c r="I60" s="247">
        <f t="shared" si="5"/>
        <v>0</v>
      </c>
      <c r="K60" s="159"/>
      <c r="L60" s="157"/>
      <c r="M60" s="157"/>
      <c r="N60" s="154"/>
      <c r="O60" s="155"/>
      <c r="P60" s="158"/>
      <c r="R60" s="50" t="str">
        <f>IF(V60='Request #42'!V60,"OK","Send in Change Order")</f>
        <v>OK</v>
      </c>
      <c r="S60" s="85">
        <v>49</v>
      </c>
      <c r="T60" s="86" t="s">
        <v>82</v>
      </c>
      <c r="U60" s="218">
        <f>'Request #42'!U60</f>
        <v>0</v>
      </c>
      <c r="V60" s="87">
        <f>'Request #42'!V60</f>
        <v>0</v>
      </c>
      <c r="W60" s="88">
        <f>SUMIF(F7:F79,49,E7:E79)</f>
        <v>0</v>
      </c>
      <c r="X60" s="88">
        <f>'Request #42'!Y60</f>
        <v>0</v>
      </c>
      <c r="Y60" s="88">
        <f t="shared" si="1"/>
        <v>0</v>
      </c>
      <c r="Z60" s="88">
        <f t="shared" si="2"/>
        <v>0</v>
      </c>
      <c r="AA60" s="88">
        <f>SUMIF(P7:P79,49,O7:O79)</f>
        <v>0</v>
      </c>
      <c r="AB60" s="50" t="str">
        <f>IF(W60&gt;='Request #42'!AA60,"OK","Alert,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197">
        <f t="shared" si="5"/>
        <v>55</v>
      </c>
      <c r="H61" s="198">
        <f t="shared" si="5"/>
        <v>0</v>
      </c>
      <c r="I61" s="247">
        <f t="shared" si="5"/>
        <v>0</v>
      </c>
      <c r="K61" s="159"/>
      <c r="L61" s="157"/>
      <c r="M61" s="157"/>
      <c r="N61" s="154"/>
      <c r="O61" s="155"/>
      <c r="P61" s="158"/>
      <c r="R61" s="50" t="str">
        <f>IF(V61='Request #42'!V61,"OK","Send in Change Order")</f>
        <v>OK</v>
      </c>
      <c r="S61" s="85">
        <v>50</v>
      </c>
      <c r="T61" s="86" t="s">
        <v>82</v>
      </c>
      <c r="U61" s="218">
        <f>'Request #42'!U61</f>
        <v>0</v>
      </c>
      <c r="V61" s="87">
        <f>'Request #42'!V61</f>
        <v>0</v>
      </c>
      <c r="W61" s="88">
        <f>SUMIF(F7:F79,50,E7:E79)</f>
        <v>0</v>
      </c>
      <c r="X61" s="88">
        <f>'Request #42'!Y61</f>
        <v>0</v>
      </c>
      <c r="Y61" s="88">
        <f t="shared" si="1"/>
        <v>0</v>
      </c>
      <c r="Z61" s="88">
        <f t="shared" si="2"/>
        <v>0</v>
      </c>
      <c r="AA61" s="88">
        <f>SUMIF(P7:P79,50,O7:O79)</f>
        <v>0</v>
      </c>
      <c r="AB61" s="50" t="str">
        <f>IF(W61&gt;='Request #42'!AA61,"OK","Alert,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197">
        <f t="shared" si="5"/>
        <v>56</v>
      </c>
      <c r="H62" s="198">
        <f t="shared" si="5"/>
        <v>0</v>
      </c>
      <c r="I62" s="247">
        <f t="shared" si="5"/>
        <v>0</v>
      </c>
      <c r="K62" s="159"/>
      <c r="L62" s="157"/>
      <c r="M62" s="157"/>
      <c r="N62" s="154"/>
      <c r="O62" s="155"/>
      <c r="P62" s="158"/>
      <c r="R62" s="50" t="str">
        <f>IF(V62='Request #42'!V62,"OK","Send in Change Order")</f>
        <v>OK</v>
      </c>
      <c r="S62" s="85">
        <v>51</v>
      </c>
      <c r="T62" s="86" t="s">
        <v>82</v>
      </c>
      <c r="U62" s="218">
        <f>'Request #42'!U62</f>
        <v>0</v>
      </c>
      <c r="V62" s="87">
        <f>'Request #42'!V62</f>
        <v>0</v>
      </c>
      <c r="W62" s="88">
        <f>SUMIF(F7:F79,51,E7:E79)</f>
        <v>0</v>
      </c>
      <c r="X62" s="88">
        <f>'Request #42'!Y62</f>
        <v>0</v>
      </c>
      <c r="Y62" s="88">
        <f t="shared" si="1"/>
        <v>0</v>
      </c>
      <c r="Z62" s="88">
        <f t="shared" si="2"/>
        <v>0</v>
      </c>
      <c r="AA62" s="88">
        <f>SUMIF(P7:P79,51,O7:O79)</f>
        <v>0</v>
      </c>
      <c r="AB62" s="50" t="str">
        <f>IF(W62&gt;='Request #42'!AA62,"OK","Alert,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#42'!V63,"OK","Send in Change Order")</f>
        <v>OK</v>
      </c>
      <c r="S63" s="85">
        <v>52</v>
      </c>
      <c r="T63" s="86" t="s">
        <v>88</v>
      </c>
      <c r="U63" s="218">
        <f>'Request #42'!U63</f>
        <v>0</v>
      </c>
      <c r="V63" s="87">
        <f>'Request #42'!V63</f>
        <v>0</v>
      </c>
      <c r="W63" s="88">
        <f>SUMIF(F7:F79,52,E7:E79)</f>
        <v>0</v>
      </c>
      <c r="X63" s="88">
        <f>'Request #42'!Y63</f>
        <v>0</v>
      </c>
      <c r="Y63" s="88">
        <f t="shared" si="1"/>
        <v>0</v>
      </c>
      <c r="Z63" s="88">
        <f t="shared" si="2"/>
        <v>0</v>
      </c>
      <c r="AA63" s="88">
        <f>SUMIF(P7:P79,52,O7:O79)</f>
        <v>0</v>
      </c>
      <c r="AB63" s="50" t="str">
        <f>IF(W63&gt;='Request #42'!AA63,"OK","Alert,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#42'!V64,"OK","Send in Change Order")</f>
        <v>OK</v>
      </c>
      <c r="S64" s="85">
        <v>53</v>
      </c>
      <c r="T64" s="86" t="s">
        <v>89</v>
      </c>
      <c r="U64" s="218">
        <f>'Request #42'!U64</f>
        <v>0</v>
      </c>
      <c r="V64" s="87">
        <f>'Request #42'!V64</f>
        <v>0</v>
      </c>
      <c r="W64" s="88">
        <f>SUMIF(F7:F79,53,E7:E79)</f>
        <v>0</v>
      </c>
      <c r="X64" s="88">
        <f>'Request #42'!Y64</f>
        <v>0</v>
      </c>
      <c r="Y64" s="88">
        <f t="shared" si="1"/>
        <v>0</v>
      </c>
      <c r="Z64" s="88">
        <f t="shared" si="2"/>
        <v>0</v>
      </c>
      <c r="AA64" s="88">
        <f>SUMIF(P7:P79,53,O7:O79)</f>
        <v>0</v>
      </c>
      <c r="AB64" s="50" t="str">
        <f>IF(W64&gt;='Request #42'!AA64,"OK","Alert,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#42'!V65,"OK","Send in Change Order")</f>
        <v>OK</v>
      </c>
      <c r="S65" s="85">
        <v>54</v>
      </c>
      <c r="T65" s="102" t="s">
        <v>90</v>
      </c>
      <c r="U65" s="218">
        <f>'Request #42'!U65</f>
        <v>0</v>
      </c>
      <c r="V65" s="87">
        <f>'Request #42'!V65</f>
        <v>0</v>
      </c>
      <c r="W65" s="104"/>
      <c r="X65" s="88">
        <f>'Request #42'!Y65</f>
        <v>0</v>
      </c>
      <c r="Y65" s="88">
        <f t="shared" si="1"/>
        <v>0</v>
      </c>
      <c r="Z65" s="88">
        <f t="shared" si="2"/>
        <v>0</v>
      </c>
      <c r="AA65" s="104"/>
      <c r="AB65" s="50" t="str">
        <f>IF(W65&gt;='Request #42'!AA65,"OK","Alert,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#42'!V66,"OK","Send in Change Order")</f>
        <v>OK</v>
      </c>
      <c r="S66" s="85">
        <v>55</v>
      </c>
      <c r="T66" s="86"/>
      <c r="U66" s="218">
        <f>'Request #42'!U66</f>
        <v>0</v>
      </c>
      <c r="V66" s="87">
        <f>'Request #42'!V66</f>
        <v>0</v>
      </c>
      <c r="W66" s="88">
        <f>SUMIF(F7:F79,55,E7:E79)</f>
        <v>0</v>
      </c>
      <c r="X66" s="88">
        <f>'Request #42'!Y66</f>
        <v>0</v>
      </c>
      <c r="Y66" s="88">
        <f t="shared" si="1"/>
        <v>0</v>
      </c>
      <c r="Z66" s="88">
        <f t="shared" si="2"/>
        <v>0</v>
      </c>
      <c r="AA66" s="88">
        <f>SUMIF(P7:P79,55,O7:O79)</f>
        <v>0</v>
      </c>
      <c r="AB66" s="50" t="str">
        <f>IF(W66&gt;='Request #42'!AA66,"OK","Alert,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#42'!V67,"OK","Send in Change Order")</f>
        <v>OK</v>
      </c>
      <c r="S67" s="85">
        <v>56</v>
      </c>
      <c r="T67" s="79"/>
      <c r="U67" s="218">
        <f>'Request #42'!U67</f>
        <v>0</v>
      </c>
      <c r="V67" s="87">
        <f>'Request #42'!V67</f>
        <v>0</v>
      </c>
      <c r="W67" s="88">
        <f>SUMIF(F7:F79,56,E7:E79)</f>
        <v>0</v>
      </c>
      <c r="X67" s="88">
        <f>'Request #42'!Y67</f>
        <v>0</v>
      </c>
      <c r="Y67" s="88">
        <f t="shared" si="1"/>
        <v>0</v>
      </c>
      <c r="Z67" s="88">
        <f t="shared" si="2"/>
        <v>0</v>
      </c>
      <c r="AA67" s="88">
        <f>SUMIF(P7:P79,56,O7:O79)</f>
        <v>0</v>
      </c>
      <c r="AB67" s="50" t="str">
        <f>IF(W67&gt;='Request #42'!AA67,"OK","Alert,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#42'!V68,"OK","Send in Change Order")</f>
        <v>OK</v>
      </c>
      <c r="S68" s="316" t="s">
        <v>60</v>
      </c>
      <c r="T68" s="317"/>
      <c r="U68" s="166" t="s">
        <v>91</v>
      </c>
      <c r="V68" s="263">
        <f t="shared" ref="V68:AA68" si="6">SUM(V12:V67)</f>
        <v>0</v>
      </c>
      <c r="W68" s="105">
        <f t="shared" si="6"/>
        <v>0</v>
      </c>
      <c r="X68" s="105">
        <f t="shared" si="6"/>
        <v>0</v>
      </c>
      <c r="Y68" s="105">
        <f t="shared" si="6"/>
        <v>0</v>
      </c>
      <c r="Z68" s="105">
        <f t="shared" si="6"/>
        <v>0</v>
      </c>
      <c r="AA68" s="105">
        <f t="shared" si="6"/>
        <v>0</v>
      </c>
      <c r="AB68" s="50" t="str">
        <f>IF(W68&gt;='Request #42'!AA68,"OK","Alert,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108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167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190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119" t="e">
        <f>V72/V68</f>
        <v>#DIV/0!</v>
      </c>
      <c r="V72" s="88">
        <f>V68-V74-V73</f>
        <v>0</v>
      </c>
      <c r="W72" s="87">
        <v>0</v>
      </c>
      <c r="X72" s="88">
        <f>'Request #42'!Y72</f>
        <v>0</v>
      </c>
      <c r="Y72" s="88">
        <f t="shared" ref="Y72:Y73" si="7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S73" s="86" t="s">
        <v>95</v>
      </c>
      <c r="T73" s="114"/>
      <c r="U73" s="119" t="e">
        <f>V73/V68</f>
        <v>#DIV/0!</v>
      </c>
      <c r="V73" s="87">
        <f>'Request #42'!V73</f>
        <v>0</v>
      </c>
      <c r="W73" s="87">
        <v>0</v>
      </c>
      <c r="X73" s="88">
        <f>'Request #42'!Y73</f>
        <v>0</v>
      </c>
      <c r="Y73" s="88">
        <f t="shared" si="7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S74" s="120" t="s">
        <v>96</v>
      </c>
      <c r="T74" s="121"/>
      <c r="U74" s="119" t="e">
        <f>V74/V68</f>
        <v>#DIV/0!</v>
      </c>
      <c r="V74" s="87">
        <f>'Request #42'!V74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55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1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114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114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136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55"/>
      <c r="V80" s="55"/>
      <c r="W80" s="55"/>
      <c r="X80" s="138"/>
      <c r="Y80" s="45" t="s">
        <v>108</v>
      </c>
      <c r="Z80" s="43"/>
      <c r="AA80" s="88">
        <f>'Request #42'!AA79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43</v>
      </c>
      <c r="V87" s="55"/>
      <c r="W87" s="55"/>
      <c r="X87" s="138"/>
      <c r="Y87" s="45" t="s">
        <v>108</v>
      </c>
      <c r="Z87" s="43"/>
      <c r="AA87" s="88">
        <f>'Request #42'!AA86</f>
        <v>0</v>
      </c>
      <c r="AB87" s="110"/>
    </row>
    <row r="88" spans="1:28" ht="30" customHeight="1" thickBot="1" x14ac:dyDescent="0.35">
      <c r="S88" s="55"/>
      <c r="T88" s="55"/>
      <c r="U88" s="55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55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55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55"/>
      <c r="V91" s="55"/>
      <c r="W91" s="55"/>
      <c r="X91" s="55"/>
    </row>
    <row r="92" spans="1:28" ht="30" customHeight="1" x14ac:dyDescent="0.3">
      <c r="S92" s="55"/>
      <c r="T92" s="55"/>
      <c r="U92" s="55"/>
      <c r="V92" s="55"/>
      <c r="W92" s="55"/>
      <c r="X92" s="55"/>
    </row>
    <row r="93" spans="1:28" ht="30" customHeight="1" x14ac:dyDescent="0.3">
      <c r="S93" s="55"/>
      <c r="T93" s="55"/>
      <c r="U93" s="55"/>
      <c r="V93" s="55"/>
      <c r="W93" s="55"/>
      <c r="X93" s="55"/>
    </row>
    <row r="94" spans="1:28" ht="30" customHeight="1" x14ac:dyDescent="0.3">
      <c r="S94" s="55"/>
      <c r="T94" s="55"/>
      <c r="U94" s="55"/>
      <c r="V94" s="55"/>
      <c r="W94" s="55"/>
      <c r="X94" s="55"/>
    </row>
    <row r="95" spans="1:28" ht="30" customHeight="1" x14ac:dyDescent="0.3">
      <c r="S95" s="55"/>
      <c r="T95" s="55"/>
      <c r="U95" s="55"/>
      <c r="V95" s="55"/>
      <c r="W95" s="55"/>
      <c r="X95" s="55"/>
    </row>
    <row r="96" spans="1:28" ht="30" customHeight="1" x14ac:dyDescent="0.3">
      <c r="S96" s="55"/>
      <c r="T96" s="55"/>
      <c r="U96" s="55"/>
      <c r="V96" s="55"/>
      <c r="W96" s="55"/>
      <c r="X96" s="55"/>
    </row>
    <row r="97" spans="15:24" ht="30" customHeight="1" x14ac:dyDescent="0.3">
      <c r="S97" s="55"/>
      <c r="T97" s="55"/>
      <c r="U97" s="55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+R3cLfbNNwmos2RnsW5LNRSVEEQYCeGWzRlyzFYTCE2WSUzr3LhofhdRI3eCSuHEYlbBYbVP6wVeChWd5imKhw==" saltValue="4+BBjmGmB0s6u7KuROwP9g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6:Z86"/>
    <mergeCell ref="S68:T68"/>
    <mergeCell ref="S70:T70"/>
    <mergeCell ref="Y76:AA76"/>
    <mergeCell ref="W77:W79"/>
    <mergeCell ref="Y79:Z79"/>
    <mergeCell ref="Y83:AA83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52" priority="10" operator="containsText" text="Change">
      <formula>NOT(ISERROR(SEARCH("Change",R1)))</formula>
    </cfRule>
  </conditionalFormatting>
  <conditionalFormatting sqref="R45:R48">
    <cfRule type="cellIs" dxfId="51" priority="7" operator="equal">
      <formula>"Send in Change Order"</formula>
    </cfRule>
  </conditionalFormatting>
  <conditionalFormatting sqref="W68">
    <cfRule type="cellIs" dxfId="50" priority="2" operator="notEqual">
      <formula>$E$82</formula>
    </cfRule>
    <cfRule type="cellIs" dxfId="49" priority="3" operator="greaterThan">
      <formula>$E$82</formula>
    </cfRule>
    <cfRule type="cellIs" dxfId="48" priority="4" operator="notEqual">
      <formula>$E$82</formula>
    </cfRule>
  </conditionalFormatting>
  <conditionalFormatting sqref="Z12:Z44">
    <cfRule type="cellIs" dxfId="47" priority="8" operator="lessThan">
      <formula>0</formula>
    </cfRule>
  </conditionalFormatting>
  <conditionalFormatting sqref="Z49:Z68">
    <cfRule type="cellIs" dxfId="46" priority="5" operator="lessThan">
      <formula>0</formula>
    </cfRule>
  </conditionalFormatting>
  <conditionalFormatting sqref="AA68">
    <cfRule type="cellIs" dxfId="45" priority="1" operator="notEqual">
      <formula>$O$82</formula>
    </cfRule>
  </conditionalFormatting>
  <conditionalFormatting sqref="AB1:AB1048576">
    <cfRule type="containsText" dxfId="44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6" manualBreakCount="6">
    <brk id="6" max="1048575" man="1"/>
    <brk id="10" max="1048575" man="1"/>
    <brk id="16" max="88" man="1"/>
    <brk id="18" max="1048575" man="1"/>
    <brk id="27" max="1048575" man="1"/>
    <brk id="29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664062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21875" style="50" customWidth="1"/>
    <col min="19" max="19" width="6.109375" style="39" customWidth="1"/>
    <col min="20" max="20" width="30.77734375" style="39" customWidth="1"/>
    <col min="21" max="21" width="17.77734375" style="39" customWidth="1"/>
    <col min="22" max="27" width="18.88671875" style="39" customWidth="1"/>
    <col min="28" max="28" width="24.3320312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53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44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53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53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195" t="s">
        <v>35</v>
      </c>
      <c r="H6" s="196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55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197">
        <f>S12</f>
        <v>1</v>
      </c>
      <c r="H7" s="198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197">
        <f t="shared" ref="G8:I23" si="0">S13</f>
        <v>2</v>
      </c>
      <c r="H8" s="198" t="str">
        <f t="shared" si="0"/>
        <v>General Contract</v>
      </c>
      <c r="I8" s="247">
        <f t="shared" si="0"/>
        <v>0</v>
      </c>
      <c r="K8" s="152"/>
      <c r="L8" s="157"/>
      <c r="M8" s="157"/>
      <c r="N8" s="154"/>
      <c r="O8" s="155"/>
      <c r="P8" s="158"/>
      <c r="S8" s="66"/>
      <c r="T8" s="67"/>
      <c r="U8" s="68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197">
        <f t="shared" si="0"/>
        <v>3</v>
      </c>
      <c r="H9" s="198" t="str">
        <f t="shared" si="0"/>
        <v>Architect Contract</v>
      </c>
      <c r="I9" s="247">
        <f t="shared" si="0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74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44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197">
        <f t="shared" si="0"/>
        <v>4</v>
      </c>
      <c r="H10" s="198" t="str">
        <f t="shared" si="0"/>
        <v>Architect Reimbursables</v>
      </c>
      <c r="I10" s="247">
        <f t="shared" si="0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197">
        <f t="shared" si="0"/>
        <v>5</v>
      </c>
      <c r="H11" s="198" t="str">
        <f t="shared" si="0"/>
        <v>Other Contracts</v>
      </c>
      <c r="I11" s="247">
        <f t="shared" si="0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80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197">
        <f t="shared" si="0"/>
        <v>6</v>
      </c>
      <c r="H12" s="198" t="str">
        <f t="shared" si="0"/>
        <v>Other Contracts</v>
      </c>
      <c r="I12" s="247">
        <f t="shared" si="0"/>
        <v>0</v>
      </c>
      <c r="K12" s="152"/>
      <c r="L12" s="157"/>
      <c r="M12" s="157"/>
      <c r="N12" s="154"/>
      <c r="O12" s="155"/>
      <c r="P12" s="158"/>
      <c r="R12" s="50" t="str">
        <f>IF(V12='Request #43'!V12,"OK","Send in Change Order")</f>
        <v>OK</v>
      </c>
      <c r="S12" s="85">
        <v>1</v>
      </c>
      <c r="T12" s="86" t="str">
        <f>'Request #35'!T12</f>
        <v>Land/Site Grading &amp; Improv.</v>
      </c>
      <c r="U12" s="218">
        <f>'Request #43'!U12</f>
        <v>0</v>
      </c>
      <c r="V12" s="87">
        <f>'Request #43'!V12</f>
        <v>0</v>
      </c>
      <c r="W12" s="88">
        <f>SUMIF(F7:F79,1,E7:E79)</f>
        <v>0</v>
      </c>
      <c r="X12" s="88">
        <f>'Request #43'!Y12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#43'!AA12,"OK","Alert,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197">
        <f t="shared" si="0"/>
        <v>7</v>
      </c>
      <c r="H13" s="198" t="str">
        <f t="shared" si="0"/>
        <v>Other Contracts</v>
      </c>
      <c r="I13" s="247">
        <f t="shared" si="0"/>
        <v>0</v>
      </c>
      <c r="K13" s="152"/>
      <c r="L13" s="157"/>
      <c r="M13" s="157"/>
      <c r="N13" s="154"/>
      <c r="O13" s="155"/>
      <c r="P13" s="158"/>
      <c r="R13" s="50" t="str">
        <f>IF(V13='Request #43'!V13,"OK","Send in Change Order")</f>
        <v>OK</v>
      </c>
      <c r="S13" s="85">
        <v>2</v>
      </c>
      <c r="T13" s="86" t="s">
        <v>122</v>
      </c>
      <c r="U13" s="218">
        <f>'Request #43'!U13</f>
        <v>0</v>
      </c>
      <c r="V13" s="87">
        <f>'Request #43'!V13</f>
        <v>0</v>
      </c>
      <c r="W13" s="88">
        <f>SUMIF(F7:F79,2,E7:E79)</f>
        <v>0</v>
      </c>
      <c r="X13" s="88">
        <f>'Request #43'!Y13</f>
        <v>0</v>
      </c>
      <c r="Y13" s="88">
        <f t="shared" ref="Y13:Y67" si="1">W13+X13</f>
        <v>0</v>
      </c>
      <c r="Z13" s="88">
        <f t="shared" ref="Z13:Z67" si="2">V13-Y13</f>
        <v>0</v>
      </c>
      <c r="AA13" s="88">
        <f>SUMIF(P7:P79,2,O7:O79)</f>
        <v>0</v>
      </c>
      <c r="AB13" s="50" t="str">
        <f>IF(W13&gt;='Request #43'!AA13,"OK","Alert,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197">
        <f t="shared" si="0"/>
        <v>8</v>
      </c>
      <c r="H14" s="198" t="str">
        <f t="shared" si="0"/>
        <v>Other Contracts</v>
      </c>
      <c r="I14" s="247">
        <f t="shared" si="0"/>
        <v>0</v>
      </c>
      <c r="K14" s="159"/>
      <c r="L14" s="157"/>
      <c r="M14" s="157"/>
      <c r="N14" s="154"/>
      <c r="O14" s="155"/>
      <c r="P14" s="158"/>
      <c r="R14" s="50" t="str">
        <f>IF(V14='Request #43'!V14,"OK","Send in Change Order")</f>
        <v>OK</v>
      </c>
      <c r="S14" s="85">
        <v>3</v>
      </c>
      <c r="T14" s="86" t="s">
        <v>123</v>
      </c>
      <c r="U14" s="218">
        <f>'Request #43'!U14</f>
        <v>0</v>
      </c>
      <c r="V14" s="87">
        <f>'Request #43'!V14</f>
        <v>0</v>
      </c>
      <c r="W14" s="88">
        <f>SUMIF(F7:F79,3,E7:E79)</f>
        <v>0</v>
      </c>
      <c r="X14" s="88">
        <f>'Request #43'!Y14</f>
        <v>0</v>
      </c>
      <c r="Y14" s="88">
        <f t="shared" si="1"/>
        <v>0</v>
      </c>
      <c r="Z14" s="88">
        <f t="shared" si="2"/>
        <v>0</v>
      </c>
      <c r="AA14" s="88">
        <f>SUMIF(P7:P79,3,O7:O79)</f>
        <v>0</v>
      </c>
      <c r="AB14" s="50" t="str">
        <f>IF(W14&gt;='Request #43'!AA14,"OK","Alert,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197">
        <f t="shared" si="0"/>
        <v>9</v>
      </c>
      <c r="H15" s="198" t="str">
        <f t="shared" si="0"/>
        <v>Other Contracts</v>
      </c>
      <c r="I15" s="247">
        <f t="shared" si="0"/>
        <v>0</v>
      </c>
      <c r="K15" s="159"/>
      <c r="L15" s="157"/>
      <c r="M15" s="157"/>
      <c r="N15" s="154"/>
      <c r="O15" s="155"/>
      <c r="P15" s="158"/>
      <c r="R15" s="50" t="str">
        <f>IF(V15='Request #43'!V15,"OK","Send in Change Order")</f>
        <v>OK</v>
      </c>
      <c r="S15" s="85">
        <v>4</v>
      </c>
      <c r="T15" s="86" t="s">
        <v>124</v>
      </c>
      <c r="U15" s="218">
        <f>'Request #43'!U15</f>
        <v>0</v>
      </c>
      <c r="V15" s="87">
        <f>'Request #43'!V15</f>
        <v>0</v>
      </c>
      <c r="W15" s="88">
        <f>SUMIF(F7:F79,4,E7:E79)</f>
        <v>0</v>
      </c>
      <c r="X15" s="88">
        <f>'Request #43'!Y15</f>
        <v>0</v>
      </c>
      <c r="Y15" s="88">
        <f t="shared" si="1"/>
        <v>0</v>
      </c>
      <c r="Z15" s="88">
        <f t="shared" si="2"/>
        <v>0</v>
      </c>
      <c r="AA15" s="88">
        <f>SUMIF(P7:P79,4,O7:O79)</f>
        <v>0</v>
      </c>
      <c r="AB15" s="50" t="str">
        <f>IF(W15&gt;='Request #43'!AA15,"OK","Alert,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197">
        <f t="shared" si="0"/>
        <v>10</v>
      </c>
      <c r="H16" s="198" t="str">
        <f t="shared" si="0"/>
        <v>Other Contracts</v>
      </c>
      <c r="I16" s="247">
        <f t="shared" si="0"/>
        <v>0</v>
      </c>
      <c r="K16" s="152"/>
      <c r="L16" s="157"/>
      <c r="M16" s="157"/>
      <c r="N16" s="154"/>
      <c r="O16" s="155"/>
      <c r="P16" s="158"/>
      <c r="R16" s="50" t="str">
        <f>IF(V16='Request #43'!V16,"OK","Send in Change Order")</f>
        <v>OK</v>
      </c>
      <c r="S16" s="85">
        <v>5</v>
      </c>
      <c r="T16" s="86" t="s">
        <v>71</v>
      </c>
      <c r="U16" s="218">
        <f>'Request #43'!U16</f>
        <v>0</v>
      </c>
      <c r="V16" s="87">
        <f>'Request #43'!V16</f>
        <v>0</v>
      </c>
      <c r="W16" s="88">
        <f>SUMIF(F7:F79,5,E7:E79)</f>
        <v>0</v>
      </c>
      <c r="X16" s="88">
        <f>'Request #43'!Y16</f>
        <v>0</v>
      </c>
      <c r="Y16" s="88">
        <f t="shared" si="1"/>
        <v>0</v>
      </c>
      <c r="Z16" s="88">
        <f t="shared" si="2"/>
        <v>0</v>
      </c>
      <c r="AA16" s="88">
        <f>SUMIF(P7:P79,5,O7:O79)</f>
        <v>0</v>
      </c>
      <c r="AB16" s="50" t="str">
        <f>IF(W16&gt;='Request #43'!AA16,"OK","Alert,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197">
        <f t="shared" si="0"/>
        <v>11</v>
      </c>
      <c r="H17" s="198" t="str">
        <f t="shared" si="0"/>
        <v>Other Contracts</v>
      </c>
      <c r="I17" s="247">
        <f t="shared" si="0"/>
        <v>0</v>
      </c>
      <c r="K17" s="152"/>
      <c r="L17" s="157"/>
      <c r="M17" s="157"/>
      <c r="N17" s="154"/>
      <c r="O17" s="155"/>
      <c r="P17" s="158"/>
      <c r="R17" s="50" t="str">
        <f>IF(V17='Request #43'!V17,"OK","Send in Change Order")</f>
        <v>OK</v>
      </c>
      <c r="S17" s="85">
        <v>6</v>
      </c>
      <c r="T17" s="86" t="s">
        <v>71</v>
      </c>
      <c r="U17" s="218">
        <f>'Request #43'!U17</f>
        <v>0</v>
      </c>
      <c r="V17" s="87">
        <f>'Request #43'!V17</f>
        <v>0</v>
      </c>
      <c r="W17" s="88">
        <f>SUMIF(F7:F79,6,E7:E79)</f>
        <v>0</v>
      </c>
      <c r="X17" s="88">
        <f>'Request #43'!Y17</f>
        <v>0</v>
      </c>
      <c r="Y17" s="88">
        <f t="shared" si="1"/>
        <v>0</v>
      </c>
      <c r="Z17" s="88">
        <f t="shared" si="2"/>
        <v>0</v>
      </c>
      <c r="AA17" s="88">
        <f>SUMIF(P7:P79,6,O7:O79)</f>
        <v>0</v>
      </c>
      <c r="AB17" s="50" t="str">
        <f>IF(W17&gt;='Request #43'!AA17,"OK","Alert,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197">
        <f t="shared" si="0"/>
        <v>12</v>
      </c>
      <c r="H18" s="198" t="str">
        <f t="shared" si="0"/>
        <v>Other Contracts</v>
      </c>
      <c r="I18" s="247">
        <f t="shared" si="0"/>
        <v>0</v>
      </c>
      <c r="K18" s="152"/>
      <c r="L18" s="157"/>
      <c r="M18" s="157"/>
      <c r="N18" s="154"/>
      <c r="O18" s="155"/>
      <c r="P18" s="158"/>
      <c r="R18" s="50" t="str">
        <f>IF(V18='Request #43'!V18,"OK","Send in Change Order")</f>
        <v>OK</v>
      </c>
      <c r="S18" s="85">
        <v>7</v>
      </c>
      <c r="T18" s="86" t="s">
        <v>71</v>
      </c>
      <c r="U18" s="218">
        <f>'Request #43'!U18</f>
        <v>0</v>
      </c>
      <c r="V18" s="87">
        <f>'Request #43'!V18</f>
        <v>0</v>
      </c>
      <c r="W18" s="88">
        <f>SUMIF(F7:F79,7,E7:E79)</f>
        <v>0</v>
      </c>
      <c r="X18" s="88">
        <f>'Request #43'!Y18</f>
        <v>0</v>
      </c>
      <c r="Y18" s="88">
        <f t="shared" si="1"/>
        <v>0</v>
      </c>
      <c r="Z18" s="88">
        <f t="shared" si="2"/>
        <v>0</v>
      </c>
      <c r="AA18" s="88">
        <f>SUMIF(P7:P79,7,O7:O79)</f>
        <v>0</v>
      </c>
      <c r="AB18" s="50" t="str">
        <f>IF(W18&gt;='Request #43'!AA18,"OK","Alert,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197">
        <f t="shared" si="0"/>
        <v>13</v>
      </c>
      <c r="H19" s="198" t="str">
        <f t="shared" si="0"/>
        <v>Other Contracts</v>
      </c>
      <c r="I19" s="247">
        <f t="shared" si="0"/>
        <v>0</v>
      </c>
      <c r="K19" s="159"/>
      <c r="L19" s="157"/>
      <c r="M19" s="157"/>
      <c r="N19" s="154"/>
      <c r="O19" s="155"/>
      <c r="P19" s="158"/>
      <c r="R19" s="50" t="str">
        <f>IF(V19='Request #43'!V19,"OK","Send in Change Order")</f>
        <v>OK</v>
      </c>
      <c r="S19" s="85">
        <v>8</v>
      </c>
      <c r="T19" s="86" t="s">
        <v>71</v>
      </c>
      <c r="U19" s="218">
        <f>'Request #43'!U19</f>
        <v>0</v>
      </c>
      <c r="V19" s="87">
        <f>'Request #43'!V19</f>
        <v>0</v>
      </c>
      <c r="W19" s="88">
        <f>SUMIF(F7:F79,8,E7:E79)</f>
        <v>0</v>
      </c>
      <c r="X19" s="88">
        <f>'Request #43'!Y19</f>
        <v>0</v>
      </c>
      <c r="Y19" s="88">
        <f t="shared" si="1"/>
        <v>0</v>
      </c>
      <c r="Z19" s="88">
        <f t="shared" si="2"/>
        <v>0</v>
      </c>
      <c r="AA19" s="88">
        <f>SUMIF(P7:P79,8,O7:O79)</f>
        <v>0</v>
      </c>
      <c r="AB19" s="50" t="str">
        <f>IF(W19&gt;='Request #43'!AA19,"OK","Alert,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197">
        <f t="shared" si="0"/>
        <v>14</v>
      </c>
      <c r="H20" s="198" t="str">
        <f t="shared" si="0"/>
        <v>Other Contracts</v>
      </c>
      <c r="I20" s="247">
        <f t="shared" si="0"/>
        <v>0</v>
      </c>
      <c r="K20" s="152"/>
      <c r="L20" s="157"/>
      <c r="M20" s="157"/>
      <c r="N20" s="154"/>
      <c r="O20" s="155"/>
      <c r="P20" s="158"/>
      <c r="R20" s="50" t="str">
        <f>IF(V20='Request #43'!V20,"OK","Send in Change Order")</f>
        <v>OK</v>
      </c>
      <c r="S20" s="85">
        <v>9</v>
      </c>
      <c r="T20" s="86" t="s">
        <v>71</v>
      </c>
      <c r="U20" s="218">
        <f>'Request #43'!U20</f>
        <v>0</v>
      </c>
      <c r="V20" s="87">
        <f>'Request #43'!V20</f>
        <v>0</v>
      </c>
      <c r="W20" s="88">
        <f>SUMIF(F7:F79,9,E7:E79)</f>
        <v>0</v>
      </c>
      <c r="X20" s="88">
        <f>'Request #43'!Y20</f>
        <v>0</v>
      </c>
      <c r="Y20" s="88">
        <f t="shared" si="1"/>
        <v>0</v>
      </c>
      <c r="Z20" s="88">
        <f t="shared" si="2"/>
        <v>0</v>
      </c>
      <c r="AA20" s="88">
        <f>SUMIF(P7:P79,9,O7:O79)</f>
        <v>0</v>
      </c>
      <c r="AB20" s="50" t="str">
        <f>IF(W20&gt;='Request #43'!AA20,"OK","Alert,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197">
        <f t="shared" si="0"/>
        <v>15</v>
      </c>
      <c r="H21" s="198" t="str">
        <f t="shared" si="0"/>
        <v>Other Contracts</v>
      </c>
      <c r="I21" s="247">
        <f t="shared" si="0"/>
        <v>0</v>
      </c>
      <c r="K21" s="159"/>
      <c r="L21" s="157"/>
      <c r="M21" s="157"/>
      <c r="N21" s="154"/>
      <c r="O21" s="155"/>
      <c r="P21" s="158"/>
      <c r="R21" s="50" t="str">
        <f>IF(V21='Request #43'!V21,"OK","Send in Change Order")</f>
        <v>OK</v>
      </c>
      <c r="S21" s="85">
        <v>10</v>
      </c>
      <c r="T21" s="86" t="s">
        <v>71</v>
      </c>
      <c r="U21" s="218">
        <f>'Request #43'!U21</f>
        <v>0</v>
      </c>
      <c r="V21" s="87">
        <f>'Request #43'!V21</f>
        <v>0</v>
      </c>
      <c r="W21" s="88">
        <f>SUMIF(F7:F79,10,E7:E79)</f>
        <v>0</v>
      </c>
      <c r="X21" s="88">
        <f>'Request #43'!Y21</f>
        <v>0</v>
      </c>
      <c r="Y21" s="88">
        <f t="shared" si="1"/>
        <v>0</v>
      </c>
      <c r="Z21" s="88">
        <f t="shared" si="2"/>
        <v>0</v>
      </c>
      <c r="AA21" s="88">
        <f>SUMIF(P7:P79,10,O7:O79)</f>
        <v>0</v>
      </c>
      <c r="AB21" s="50" t="str">
        <f>IF(W21&gt;='Request #43'!AA21,"OK","Alert,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197">
        <f t="shared" si="0"/>
        <v>16</v>
      </c>
      <c r="H22" s="198" t="str">
        <f t="shared" si="0"/>
        <v>Other Contracts</v>
      </c>
      <c r="I22" s="247">
        <f t="shared" si="0"/>
        <v>0</v>
      </c>
      <c r="K22" s="159"/>
      <c r="L22" s="157"/>
      <c r="M22" s="157"/>
      <c r="N22" s="154"/>
      <c r="O22" s="155"/>
      <c r="P22" s="158"/>
      <c r="R22" s="50" t="str">
        <f>IF(V22='Request #43'!V22,"OK","Send in Change Order")</f>
        <v>OK</v>
      </c>
      <c r="S22" s="85">
        <v>11</v>
      </c>
      <c r="T22" s="86" t="s">
        <v>71</v>
      </c>
      <c r="U22" s="218">
        <f>'Request #43'!U22</f>
        <v>0</v>
      </c>
      <c r="V22" s="87">
        <f>'Request #43'!V22</f>
        <v>0</v>
      </c>
      <c r="W22" s="88">
        <f>SUMIF(F7:F79,11,E7:E79)</f>
        <v>0</v>
      </c>
      <c r="X22" s="88">
        <f>'Request #43'!Y22</f>
        <v>0</v>
      </c>
      <c r="Y22" s="88">
        <f t="shared" si="1"/>
        <v>0</v>
      </c>
      <c r="Z22" s="88">
        <f t="shared" si="2"/>
        <v>0</v>
      </c>
      <c r="AA22" s="88">
        <f>SUMIF(P7:P79,11,O7:O79)</f>
        <v>0</v>
      </c>
      <c r="AB22" s="50" t="str">
        <f>IF(W22&gt;='Request #43'!AA22,"OK","Alert,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197">
        <f t="shared" si="0"/>
        <v>17</v>
      </c>
      <c r="H23" s="198" t="str">
        <f t="shared" si="0"/>
        <v>Other Contracts</v>
      </c>
      <c r="I23" s="247">
        <f t="shared" si="0"/>
        <v>0</v>
      </c>
      <c r="K23" s="159"/>
      <c r="L23" s="157"/>
      <c r="M23" s="157"/>
      <c r="N23" s="154"/>
      <c r="O23" s="155"/>
      <c r="P23" s="158"/>
      <c r="R23" s="50" t="str">
        <f>IF(V23='Request #43'!V23,"OK","Send in Change Order")</f>
        <v>OK</v>
      </c>
      <c r="S23" s="85">
        <v>12</v>
      </c>
      <c r="T23" s="86" t="s">
        <v>71</v>
      </c>
      <c r="U23" s="218">
        <f>'Request #43'!U23</f>
        <v>0</v>
      </c>
      <c r="V23" s="87">
        <f>'Request #43'!V23</f>
        <v>0</v>
      </c>
      <c r="W23" s="88">
        <f>SUMIF(F7:F79,12,E7:E79)</f>
        <v>0</v>
      </c>
      <c r="X23" s="88">
        <f>'Request #43'!Y23</f>
        <v>0</v>
      </c>
      <c r="Y23" s="88">
        <f t="shared" si="1"/>
        <v>0</v>
      </c>
      <c r="Z23" s="88">
        <f t="shared" si="2"/>
        <v>0</v>
      </c>
      <c r="AA23" s="88">
        <f>SUMIF(P7:P79,12,O7:O79)</f>
        <v>0</v>
      </c>
      <c r="AB23" s="50" t="str">
        <f>IF(W23&gt;='Request #43'!AA23,"OK","Alert,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197">
        <f t="shared" ref="G24:I39" si="3">S29</f>
        <v>18</v>
      </c>
      <c r="H24" s="198" t="str">
        <f t="shared" si="3"/>
        <v>Other Contracts</v>
      </c>
      <c r="I24" s="247">
        <f t="shared" si="3"/>
        <v>0</v>
      </c>
      <c r="K24" s="159"/>
      <c r="L24" s="157"/>
      <c r="M24" s="157"/>
      <c r="N24" s="154"/>
      <c r="O24" s="155"/>
      <c r="P24" s="158"/>
      <c r="R24" s="50" t="str">
        <f>IF(V24='Request #43'!V24,"OK","Send in Change Order")</f>
        <v>OK</v>
      </c>
      <c r="S24" s="85">
        <v>13</v>
      </c>
      <c r="T24" s="86" t="s">
        <v>71</v>
      </c>
      <c r="U24" s="218">
        <f>'Request #43'!U24</f>
        <v>0</v>
      </c>
      <c r="V24" s="87">
        <f>'Request #43'!V24</f>
        <v>0</v>
      </c>
      <c r="W24" s="88">
        <f>SUMIF(F7:F79,13,E7:E79)</f>
        <v>0</v>
      </c>
      <c r="X24" s="88">
        <f>'Request #43'!Y24</f>
        <v>0</v>
      </c>
      <c r="Y24" s="88">
        <f t="shared" si="1"/>
        <v>0</v>
      </c>
      <c r="Z24" s="88">
        <f t="shared" si="2"/>
        <v>0</v>
      </c>
      <c r="AA24" s="88">
        <f>SUMIF(P7:P79,13,O7:O79)</f>
        <v>0</v>
      </c>
      <c r="AB24" s="50" t="str">
        <f>IF(W24&gt;='Request #43'!AA24,"OK","Alert,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197">
        <f t="shared" si="3"/>
        <v>19</v>
      </c>
      <c r="H25" s="198" t="str">
        <f t="shared" si="3"/>
        <v>Other Contracts</v>
      </c>
      <c r="I25" s="247">
        <f t="shared" si="3"/>
        <v>0</v>
      </c>
      <c r="K25" s="159"/>
      <c r="L25" s="157"/>
      <c r="M25" s="157"/>
      <c r="N25" s="154"/>
      <c r="O25" s="155"/>
      <c r="P25" s="158"/>
      <c r="R25" s="50" t="str">
        <f>IF(V25='Request #43'!V25,"OK","Send in Change Order")</f>
        <v>OK</v>
      </c>
      <c r="S25" s="85">
        <v>14</v>
      </c>
      <c r="T25" s="86" t="s">
        <v>71</v>
      </c>
      <c r="U25" s="218">
        <f>'Request #43'!U25</f>
        <v>0</v>
      </c>
      <c r="V25" s="87">
        <f>'Request #43'!V25</f>
        <v>0</v>
      </c>
      <c r="W25" s="88">
        <f>SUMIF(F7:F79,14,E7:E79)</f>
        <v>0</v>
      </c>
      <c r="X25" s="88">
        <f>'Request #43'!Y25</f>
        <v>0</v>
      </c>
      <c r="Y25" s="88">
        <f t="shared" si="1"/>
        <v>0</v>
      </c>
      <c r="Z25" s="88">
        <f t="shared" si="2"/>
        <v>0</v>
      </c>
      <c r="AA25" s="88">
        <f>SUMIF(P7:P79,14,O7:O79)</f>
        <v>0</v>
      </c>
      <c r="AB25" s="50" t="str">
        <f>IF(W25&gt;='Request #43'!AA25,"OK","Alert,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197">
        <f t="shared" si="3"/>
        <v>20</v>
      </c>
      <c r="H26" s="198" t="str">
        <f t="shared" si="3"/>
        <v>Other Contracts</v>
      </c>
      <c r="I26" s="247">
        <f t="shared" si="3"/>
        <v>0</v>
      </c>
      <c r="K26" s="159"/>
      <c r="L26" s="157"/>
      <c r="M26" s="157"/>
      <c r="N26" s="154"/>
      <c r="O26" s="155"/>
      <c r="P26" s="158"/>
      <c r="R26" s="50" t="str">
        <f>IF(V26='Request #43'!V26,"OK","Send in Change Order")</f>
        <v>OK</v>
      </c>
      <c r="S26" s="85">
        <v>15</v>
      </c>
      <c r="T26" s="86" t="s">
        <v>71</v>
      </c>
      <c r="U26" s="218">
        <f>'Request #43'!U26</f>
        <v>0</v>
      </c>
      <c r="V26" s="87">
        <f>'Request #43'!V26</f>
        <v>0</v>
      </c>
      <c r="W26" s="88">
        <f>SUMIF(F7:F79,15,E7:E79)</f>
        <v>0</v>
      </c>
      <c r="X26" s="88">
        <f>'Request #43'!Y26</f>
        <v>0</v>
      </c>
      <c r="Y26" s="88">
        <f t="shared" si="1"/>
        <v>0</v>
      </c>
      <c r="Z26" s="88">
        <f t="shared" si="2"/>
        <v>0</v>
      </c>
      <c r="AA26" s="88">
        <f>SUMIF(P7:P79,15,O7:O79)</f>
        <v>0</v>
      </c>
      <c r="AB26" s="50" t="str">
        <f>IF(W26&gt;='Request #43'!AA26,"OK","Alert,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197">
        <f t="shared" si="3"/>
        <v>21</v>
      </c>
      <c r="H27" s="198" t="str">
        <f t="shared" si="3"/>
        <v>Other Contracts</v>
      </c>
      <c r="I27" s="247">
        <f t="shared" si="3"/>
        <v>0</v>
      </c>
      <c r="K27" s="159"/>
      <c r="L27" s="157"/>
      <c r="M27" s="157"/>
      <c r="N27" s="154"/>
      <c r="O27" s="155"/>
      <c r="P27" s="158"/>
      <c r="R27" s="50" t="str">
        <f>IF(V27='Request #43'!V27,"OK","Send in Change Order")</f>
        <v>OK</v>
      </c>
      <c r="S27" s="85">
        <v>16</v>
      </c>
      <c r="T27" s="86" t="s">
        <v>71</v>
      </c>
      <c r="U27" s="218">
        <f>'Request #43'!U27</f>
        <v>0</v>
      </c>
      <c r="V27" s="87">
        <f>'Request #43'!V27</f>
        <v>0</v>
      </c>
      <c r="W27" s="88">
        <f>SUMIF(F7:F79,16,E7:E79)</f>
        <v>0</v>
      </c>
      <c r="X27" s="88">
        <f>'Request #43'!Y27</f>
        <v>0</v>
      </c>
      <c r="Y27" s="88">
        <f t="shared" si="1"/>
        <v>0</v>
      </c>
      <c r="Z27" s="88">
        <f t="shared" si="2"/>
        <v>0</v>
      </c>
      <c r="AA27" s="88">
        <f>SUMIF(P7:P79,16,O7:O79)</f>
        <v>0</v>
      </c>
      <c r="AB27" s="50" t="str">
        <f>IF(W27&gt;='Request #43'!AA27,"OK","Alert,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197">
        <f t="shared" si="3"/>
        <v>22</v>
      </c>
      <c r="H28" s="198" t="str">
        <f t="shared" si="3"/>
        <v>Other Contracts</v>
      </c>
      <c r="I28" s="247">
        <f t="shared" si="3"/>
        <v>0</v>
      </c>
      <c r="K28" s="159"/>
      <c r="L28" s="157"/>
      <c r="M28" s="157"/>
      <c r="N28" s="154"/>
      <c r="O28" s="155"/>
      <c r="P28" s="158"/>
      <c r="R28" s="50" t="str">
        <f>IF(V28='Request #43'!V28,"OK","Send in Change Order")</f>
        <v>OK</v>
      </c>
      <c r="S28" s="85">
        <v>17</v>
      </c>
      <c r="T28" s="86" t="s">
        <v>71</v>
      </c>
      <c r="U28" s="218">
        <f>'Request #43'!U28</f>
        <v>0</v>
      </c>
      <c r="V28" s="87">
        <f>'Request #43'!V28</f>
        <v>0</v>
      </c>
      <c r="W28" s="88">
        <f>SUMIF(F7:F79,17,E7:E79)</f>
        <v>0</v>
      </c>
      <c r="X28" s="88">
        <f>'Request #43'!Y28</f>
        <v>0</v>
      </c>
      <c r="Y28" s="88">
        <f t="shared" si="1"/>
        <v>0</v>
      </c>
      <c r="Z28" s="88">
        <f t="shared" si="2"/>
        <v>0</v>
      </c>
      <c r="AA28" s="88">
        <f>SUMIF(P7:P79,17,O7:O79)</f>
        <v>0</v>
      </c>
      <c r="AB28" s="50" t="str">
        <f>IF(W28&gt;='Request #43'!AA28,"OK","Alert,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197">
        <f t="shared" si="3"/>
        <v>23</v>
      </c>
      <c r="H29" s="198" t="str">
        <f t="shared" si="3"/>
        <v>Other Contracts</v>
      </c>
      <c r="I29" s="247">
        <f t="shared" si="3"/>
        <v>0</v>
      </c>
      <c r="K29" s="159"/>
      <c r="L29" s="157"/>
      <c r="M29" s="157"/>
      <c r="N29" s="154"/>
      <c r="O29" s="155"/>
      <c r="P29" s="158"/>
      <c r="R29" s="50" t="str">
        <f>IF(V29='Request #43'!V29,"OK","Send in Change Order")</f>
        <v>OK</v>
      </c>
      <c r="S29" s="85">
        <v>18</v>
      </c>
      <c r="T29" s="86" t="s">
        <v>71</v>
      </c>
      <c r="U29" s="218">
        <f>'Request #43'!U29</f>
        <v>0</v>
      </c>
      <c r="V29" s="87">
        <f>'Request #43'!V29</f>
        <v>0</v>
      </c>
      <c r="W29" s="88">
        <f>SUMIF(F7:F79,18,E7:E79)</f>
        <v>0</v>
      </c>
      <c r="X29" s="88">
        <f>'Request #43'!Y29</f>
        <v>0</v>
      </c>
      <c r="Y29" s="88">
        <f t="shared" si="1"/>
        <v>0</v>
      </c>
      <c r="Z29" s="88">
        <f t="shared" si="2"/>
        <v>0</v>
      </c>
      <c r="AA29" s="88">
        <f>SUMIF(P7:P79,18,O7:O79)</f>
        <v>0</v>
      </c>
      <c r="AB29" s="50" t="str">
        <f>IF(W29&gt;='Request #43'!AA29,"OK","Alert,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197">
        <f t="shared" si="3"/>
        <v>24</v>
      </c>
      <c r="H30" s="198" t="str">
        <f t="shared" si="3"/>
        <v>Other Contracts</v>
      </c>
      <c r="I30" s="247">
        <f t="shared" si="3"/>
        <v>0</v>
      </c>
      <c r="K30" s="159"/>
      <c r="L30" s="157"/>
      <c r="M30" s="157"/>
      <c r="N30" s="154"/>
      <c r="O30" s="155"/>
      <c r="P30" s="158"/>
      <c r="R30" s="50" t="str">
        <f>IF(V30='Request #43'!V30,"OK","Send in Change Order")</f>
        <v>OK</v>
      </c>
      <c r="S30" s="85">
        <v>19</v>
      </c>
      <c r="T30" s="86" t="s">
        <v>71</v>
      </c>
      <c r="U30" s="218">
        <f>'Request #43'!U30</f>
        <v>0</v>
      </c>
      <c r="V30" s="87">
        <f>'Request #43'!V30</f>
        <v>0</v>
      </c>
      <c r="W30" s="88">
        <f>SUMIF(F7:F79,19,E7:E79)</f>
        <v>0</v>
      </c>
      <c r="X30" s="88">
        <f>'Request #43'!Y30</f>
        <v>0</v>
      </c>
      <c r="Y30" s="88">
        <f t="shared" si="1"/>
        <v>0</v>
      </c>
      <c r="Z30" s="88">
        <f t="shared" si="2"/>
        <v>0</v>
      </c>
      <c r="AA30" s="88">
        <f>SUMIF(P7:P79,19,O7:O79)</f>
        <v>0</v>
      </c>
      <c r="AB30" s="50" t="str">
        <f>IF(W30&gt;='Request #43'!AA30,"OK","Alert,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197">
        <f t="shared" si="3"/>
        <v>25</v>
      </c>
      <c r="H31" s="198" t="str">
        <f t="shared" si="3"/>
        <v>Other Contracts</v>
      </c>
      <c r="I31" s="247">
        <f t="shared" si="3"/>
        <v>0</v>
      </c>
      <c r="K31" s="159"/>
      <c r="L31" s="157"/>
      <c r="M31" s="157"/>
      <c r="N31" s="154"/>
      <c r="O31" s="155"/>
      <c r="P31" s="158"/>
      <c r="R31" s="50" t="str">
        <f>IF(V31='Request #43'!V31,"OK","Send in Change Order")</f>
        <v>OK</v>
      </c>
      <c r="S31" s="85">
        <v>20</v>
      </c>
      <c r="T31" s="86" t="s">
        <v>71</v>
      </c>
      <c r="U31" s="218">
        <f>'Request #43'!U31</f>
        <v>0</v>
      </c>
      <c r="V31" s="87">
        <f>'Request #43'!V31</f>
        <v>0</v>
      </c>
      <c r="W31" s="88">
        <f>SUMIF(F7:F79,20,E7:E79)</f>
        <v>0</v>
      </c>
      <c r="X31" s="88">
        <f>'Request #43'!Y31</f>
        <v>0</v>
      </c>
      <c r="Y31" s="88">
        <f t="shared" si="1"/>
        <v>0</v>
      </c>
      <c r="Z31" s="88">
        <f t="shared" si="2"/>
        <v>0</v>
      </c>
      <c r="AA31" s="88">
        <f>SUMIF(P7:P79,20,O7:O79)</f>
        <v>0</v>
      </c>
      <c r="AB31" s="50" t="str">
        <f>IF(W31&gt;='Request #43'!AA31,"OK","Alert,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197">
        <f t="shared" si="3"/>
        <v>26</v>
      </c>
      <c r="H32" s="198" t="str">
        <f t="shared" si="3"/>
        <v>Other Fees</v>
      </c>
      <c r="I32" s="247">
        <f t="shared" si="3"/>
        <v>0</v>
      </c>
      <c r="K32" s="159"/>
      <c r="L32" s="157"/>
      <c r="M32" s="157"/>
      <c r="N32" s="154"/>
      <c r="O32" s="155"/>
      <c r="P32" s="158"/>
      <c r="R32" s="50" t="str">
        <f>IF(V32='Request #43'!V32,"OK","Send in Change Order")</f>
        <v>OK</v>
      </c>
      <c r="S32" s="85">
        <v>21</v>
      </c>
      <c r="T32" s="86" t="s">
        <v>71</v>
      </c>
      <c r="U32" s="218">
        <f>'Request #43'!U32</f>
        <v>0</v>
      </c>
      <c r="V32" s="87">
        <f>'Request #43'!V32</f>
        <v>0</v>
      </c>
      <c r="W32" s="88">
        <f>SUMIF(F7:F79,21,E7:E79)</f>
        <v>0</v>
      </c>
      <c r="X32" s="88">
        <f>'Request #43'!Y32</f>
        <v>0</v>
      </c>
      <c r="Y32" s="88">
        <f t="shared" si="1"/>
        <v>0</v>
      </c>
      <c r="Z32" s="88">
        <f t="shared" si="2"/>
        <v>0</v>
      </c>
      <c r="AA32" s="88">
        <f>SUMIF(P7:P79,21,O7:O79)</f>
        <v>0</v>
      </c>
      <c r="AB32" s="50" t="str">
        <f>IF(W32&gt;='Request #43'!AA32,"OK","Alert,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197">
        <f t="shared" si="3"/>
        <v>27</v>
      </c>
      <c r="H33" s="198" t="str">
        <f t="shared" si="3"/>
        <v>Other Fees</v>
      </c>
      <c r="I33" s="247">
        <f t="shared" si="3"/>
        <v>0</v>
      </c>
      <c r="K33" s="159"/>
      <c r="L33" s="157"/>
      <c r="M33" s="157"/>
      <c r="N33" s="154"/>
      <c r="O33" s="155"/>
      <c r="P33" s="158"/>
      <c r="R33" s="50" t="str">
        <f>IF(V33='Request #43'!V33,"OK","Send in Change Order")</f>
        <v>OK</v>
      </c>
      <c r="S33" s="85">
        <v>22</v>
      </c>
      <c r="T33" s="86" t="s">
        <v>71</v>
      </c>
      <c r="U33" s="218">
        <f>'Request #43'!U33</f>
        <v>0</v>
      </c>
      <c r="V33" s="87">
        <f>'Request #43'!V33</f>
        <v>0</v>
      </c>
      <c r="W33" s="88">
        <f>SUMIF(F7:F79,22,E7:E79)</f>
        <v>0</v>
      </c>
      <c r="X33" s="88">
        <f>'Request #43'!Y33</f>
        <v>0</v>
      </c>
      <c r="Y33" s="88">
        <f t="shared" si="1"/>
        <v>0</v>
      </c>
      <c r="Z33" s="88">
        <f t="shared" si="2"/>
        <v>0</v>
      </c>
      <c r="AA33" s="88">
        <f>SUMIF(P7:P79,22,O7:O79)</f>
        <v>0</v>
      </c>
      <c r="AB33" s="50" t="str">
        <f>IF(W33&gt;='Request #43'!AA33,"OK","Alert,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197">
        <f t="shared" si="3"/>
        <v>28</v>
      </c>
      <c r="H34" s="198" t="str">
        <f t="shared" si="3"/>
        <v>Other Fees</v>
      </c>
      <c r="I34" s="247">
        <f t="shared" si="3"/>
        <v>0</v>
      </c>
      <c r="K34" s="159"/>
      <c r="L34" s="157"/>
      <c r="M34" s="157"/>
      <c r="N34" s="154"/>
      <c r="O34" s="155"/>
      <c r="P34" s="158"/>
      <c r="R34" s="50" t="str">
        <f>IF(V34='Request #43'!V34,"OK","Send in Change Order")</f>
        <v>OK</v>
      </c>
      <c r="S34" s="85">
        <v>23</v>
      </c>
      <c r="T34" s="86" t="s">
        <v>71</v>
      </c>
      <c r="U34" s="218">
        <f>'Request #43'!U34</f>
        <v>0</v>
      </c>
      <c r="V34" s="87">
        <f>'Request #43'!V34</f>
        <v>0</v>
      </c>
      <c r="W34" s="88">
        <f>SUMIF(F7:F79,23,E7:E79)</f>
        <v>0</v>
      </c>
      <c r="X34" s="88">
        <f>'Request #43'!Y34</f>
        <v>0</v>
      </c>
      <c r="Y34" s="88">
        <f t="shared" si="1"/>
        <v>0</v>
      </c>
      <c r="Z34" s="88">
        <f t="shared" si="2"/>
        <v>0</v>
      </c>
      <c r="AA34" s="88">
        <f>SUMIF(P7:P79,23,O7:O79)</f>
        <v>0</v>
      </c>
      <c r="AB34" s="50" t="str">
        <f>IF(W34&gt;='Request #43'!AA34,"OK","Alert,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197">
        <f t="shared" si="3"/>
        <v>29</v>
      </c>
      <c r="H35" s="198" t="str">
        <f t="shared" si="3"/>
        <v>Other Fees</v>
      </c>
      <c r="I35" s="247">
        <f t="shared" si="3"/>
        <v>0</v>
      </c>
      <c r="K35" s="159"/>
      <c r="L35" s="157"/>
      <c r="M35" s="157"/>
      <c r="N35" s="154"/>
      <c r="O35" s="155"/>
      <c r="P35" s="158"/>
      <c r="R35" s="50" t="str">
        <f>IF(V36='Request #43'!V36,"OK","Send in Change Order")</f>
        <v>OK</v>
      </c>
      <c r="S35" s="85">
        <v>24</v>
      </c>
      <c r="T35" s="86" t="s">
        <v>71</v>
      </c>
      <c r="U35" s="218">
        <f>'Request #43'!U35</f>
        <v>0</v>
      </c>
      <c r="V35" s="87">
        <f>'Request #43'!V35</f>
        <v>0</v>
      </c>
      <c r="W35" s="88">
        <f>SUMIF(F7:F79,24,E7:E79)</f>
        <v>0</v>
      </c>
      <c r="X35" s="88">
        <f>'Request #43'!Y35</f>
        <v>0</v>
      </c>
      <c r="Y35" s="88">
        <f t="shared" si="1"/>
        <v>0</v>
      </c>
      <c r="Z35" s="88">
        <f t="shared" si="2"/>
        <v>0</v>
      </c>
      <c r="AA35" s="88">
        <f>SUMIF(P7:P79,24,O7:O79)</f>
        <v>0</v>
      </c>
      <c r="AB35" s="50" t="str">
        <f>IF(W36&gt;='Request #43'!AA36,"OK","Alert,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197">
        <f t="shared" si="3"/>
        <v>30</v>
      </c>
      <c r="H36" s="198" t="str">
        <f t="shared" si="3"/>
        <v>Other Fees</v>
      </c>
      <c r="I36" s="247">
        <f t="shared" si="3"/>
        <v>0</v>
      </c>
      <c r="K36" s="159"/>
      <c r="L36" s="157"/>
      <c r="M36" s="157"/>
      <c r="N36" s="154"/>
      <c r="O36" s="155"/>
      <c r="P36" s="158"/>
      <c r="R36" s="50" t="str">
        <f>IF(V36='Request #43'!V36,"OK","Send in Change Order")</f>
        <v>OK</v>
      </c>
      <c r="S36" s="85">
        <v>25</v>
      </c>
      <c r="T36" s="86" t="s">
        <v>71</v>
      </c>
      <c r="U36" s="218">
        <f>'Request #43'!U36</f>
        <v>0</v>
      </c>
      <c r="V36" s="87">
        <f>'Request #43'!V36</f>
        <v>0</v>
      </c>
      <c r="W36" s="88">
        <f>SUMIF(F7:F79,25,E7:E79)</f>
        <v>0</v>
      </c>
      <c r="X36" s="88">
        <f>'Request #43'!Y36</f>
        <v>0</v>
      </c>
      <c r="Y36" s="88">
        <f t="shared" si="1"/>
        <v>0</v>
      </c>
      <c r="Z36" s="88">
        <f t="shared" si="2"/>
        <v>0</v>
      </c>
      <c r="AA36" s="88">
        <f>SUMIF(P7:P79,25,O7:O79)</f>
        <v>0</v>
      </c>
      <c r="AB36" s="50" t="str">
        <f>IF(W36&gt;='Request #43'!AA36,"OK","Alert,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197">
        <f t="shared" si="3"/>
        <v>31</v>
      </c>
      <c r="H37" s="198" t="str">
        <f t="shared" si="3"/>
        <v>Other Fees</v>
      </c>
      <c r="I37" s="247">
        <f t="shared" si="3"/>
        <v>0</v>
      </c>
      <c r="K37" s="159"/>
      <c r="L37" s="157"/>
      <c r="M37" s="157"/>
      <c r="N37" s="154"/>
      <c r="O37" s="155"/>
      <c r="P37" s="158"/>
      <c r="R37" s="50" t="str">
        <f>IF(V37='Request #43'!V37,"OK","Send in Change Order")</f>
        <v>OK</v>
      </c>
      <c r="S37" s="85">
        <v>26</v>
      </c>
      <c r="T37" s="86" t="s">
        <v>82</v>
      </c>
      <c r="U37" s="218">
        <f>'Request #43'!U37</f>
        <v>0</v>
      </c>
      <c r="V37" s="87">
        <f>'Request #43'!V37</f>
        <v>0</v>
      </c>
      <c r="W37" s="88">
        <f>SUMIF(F7:F79,26,E7:E79)</f>
        <v>0</v>
      </c>
      <c r="X37" s="88">
        <f>'Request #43'!Y37</f>
        <v>0</v>
      </c>
      <c r="Y37" s="88">
        <f t="shared" si="1"/>
        <v>0</v>
      </c>
      <c r="Z37" s="88">
        <f t="shared" si="2"/>
        <v>0</v>
      </c>
      <c r="AA37" s="88">
        <f>SUMIF(P7:P79,26,O7:O79)</f>
        <v>0</v>
      </c>
      <c r="AB37" s="50" t="str">
        <f>IF(W37&gt;='Request #43'!AA37,"OK","Alert,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197">
        <f t="shared" si="3"/>
        <v>32</v>
      </c>
      <c r="H38" s="198" t="str">
        <f t="shared" si="3"/>
        <v>Other Fees</v>
      </c>
      <c r="I38" s="247">
        <f t="shared" si="3"/>
        <v>0</v>
      </c>
      <c r="K38" s="159"/>
      <c r="L38" s="157"/>
      <c r="M38" s="157"/>
      <c r="N38" s="154"/>
      <c r="O38" s="155"/>
      <c r="P38" s="158"/>
      <c r="R38" s="50" t="str">
        <f>IF(V38='Request #43'!V38,"OK","Send in Change Order")</f>
        <v>OK</v>
      </c>
      <c r="S38" s="85">
        <v>27</v>
      </c>
      <c r="T38" s="86" t="s">
        <v>82</v>
      </c>
      <c r="U38" s="218">
        <f>'Request #43'!U38</f>
        <v>0</v>
      </c>
      <c r="V38" s="87">
        <f>'Request #43'!V38</f>
        <v>0</v>
      </c>
      <c r="W38" s="88">
        <f>SUMIF(F7:F79,27,E7:E79)</f>
        <v>0</v>
      </c>
      <c r="X38" s="88">
        <f>'Request #43'!Y38</f>
        <v>0</v>
      </c>
      <c r="Y38" s="88">
        <f t="shared" si="1"/>
        <v>0</v>
      </c>
      <c r="Z38" s="88">
        <f t="shared" si="2"/>
        <v>0</v>
      </c>
      <c r="AA38" s="88">
        <f>SUMIF(P7:P79,27,O7:O79)</f>
        <v>0</v>
      </c>
      <c r="AB38" s="50" t="str">
        <f>IF(W38&gt;='Request #43'!AA38,"OK","Alert,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197">
        <f t="shared" si="3"/>
        <v>33</v>
      </c>
      <c r="H39" s="198" t="str">
        <f t="shared" si="3"/>
        <v>Other Fees</v>
      </c>
      <c r="I39" s="247">
        <f t="shared" si="3"/>
        <v>0</v>
      </c>
      <c r="K39" s="159"/>
      <c r="L39" s="157"/>
      <c r="M39" s="157"/>
      <c r="N39" s="154"/>
      <c r="O39" s="155"/>
      <c r="P39" s="158"/>
      <c r="R39" s="50" t="str">
        <f>IF(V39='Request #43'!V39,"OK","Send in Change Order")</f>
        <v>OK</v>
      </c>
      <c r="S39" s="85">
        <v>28</v>
      </c>
      <c r="T39" s="86" t="s">
        <v>82</v>
      </c>
      <c r="U39" s="218">
        <f>'Request #43'!U39</f>
        <v>0</v>
      </c>
      <c r="V39" s="87">
        <f>'Request #43'!V39</f>
        <v>0</v>
      </c>
      <c r="W39" s="88">
        <f>SUMIF(F7:F79,28,E7:E79)</f>
        <v>0</v>
      </c>
      <c r="X39" s="88">
        <f>'Request #43'!Y39</f>
        <v>0</v>
      </c>
      <c r="Y39" s="88">
        <f t="shared" si="1"/>
        <v>0</v>
      </c>
      <c r="Z39" s="88">
        <f t="shared" si="2"/>
        <v>0</v>
      </c>
      <c r="AA39" s="88">
        <f>SUMIF(P7:P79,28,O7:O79)</f>
        <v>0</v>
      </c>
      <c r="AB39" s="50" t="str">
        <f>IF(W39&gt;='Request #43'!AA39,"OK","Alert,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197">
        <f t="shared" ref="G40:I55" si="4">S45</f>
        <v>0</v>
      </c>
      <c r="H40" s="198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#43'!V40,"OK","Send in Change Order")</f>
        <v>OK</v>
      </c>
      <c r="S40" s="85">
        <v>29</v>
      </c>
      <c r="T40" s="86" t="s">
        <v>82</v>
      </c>
      <c r="U40" s="218">
        <f>'Request #43'!U40</f>
        <v>0</v>
      </c>
      <c r="V40" s="87">
        <f>'Request #43'!V40</f>
        <v>0</v>
      </c>
      <c r="W40" s="88">
        <f>SUMIF(F7:F79,29,E7:E79)</f>
        <v>0</v>
      </c>
      <c r="X40" s="88">
        <f>'Request #43'!Y40</f>
        <v>0</v>
      </c>
      <c r="Y40" s="88">
        <f t="shared" si="1"/>
        <v>0</v>
      </c>
      <c r="Z40" s="88">
        <f t="shared" si="2"/>
        <v>0</v>
      </c>
      <c r="AA40" s="88">
        <f>SUMIF(P7:P79,29,O7:O79)</f>
        <v>0</v>
      </c>
      <c r="AB40" s="50" t="str">
        <f>IF(W40&gt;='Request #43'!AA40,"OK","Alert,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197" t="str">
        <f t="shared" si="4"/>
        <v>Cost</v>
      </c>
      <c r="H41" s="198">
        <f t="shared" si="4"/>
        <v>0</v>
      </c>
      <c r="I41" s="247">
        <f t="shared" si="4"/>
        <v>0</v>
      </c>
      <c r="K41" s="159"/>
      <c r="L41" s="157"/>
      <c r="M41" s="157"/>
      <c r="N41" s="154"/>
      <c r="O41" s="155"/>
      <c r="P41" s="158"/>
      <c r="R41" s="50" t="str">
        <f>IF(V41='Request #43'!V41,"OK","Send in Change Order")</f>
        <v>OK</v>
      </c>
      <c r="S41" s="85">
        <v>30</v>
      </c>
      <c r="T41" s="86" t="s">
        <v>82</v>
      </c>
      <c r="U41" s="218">
        <f>'Request #43'!U41</f>
        <v>0</v>
      </c>
      <c r="V41" s="87">
        <f>'Request #43'!V41</f>
        <v>0</v>
      </c>
      <c r="W41" s="88">
        <f>SUMIF(F7:F79,30,E7:E79)</f>
        <v>0</v>
      </c>
      <c r="X41" s="88">
        <f>'Request #43'!Y41</f>
        <v>0</v>
      </c>
      <c r="Y41" s="88">
        <f t="shared" si="1"/>
        <v>0</v>
      </c>
      <c r="Z41" s="88">
        <f t="shared" si="2"/>
        <v>0</v>
      </c>
      <c r="AA41" s="88">
        <f>SUMIF(P7:P79,30,O7:O79)</f>
        <v>0</v>
      </c>
      <c r="AB41" s="50" t="str">
        <f>IF(W41&gt;='Request #43'!AA41,"OK","Alert,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197" t="str">
        <f t="shared" si="4"/>
        <v>Item</v>
      </c>
      <c r="H42" s="198" t="str">
        <f t="shared" si="4"/>
        <v>Account Name</v>
      </c>
      <c r="I42" s="247">
        <f t="shared" si="4"/>
        <v>0</v>
      </c>
      <c r="K42" s="159"/>
      <c r="L42" s="157"/>
      <c r="M42" s="157"/>
      <c r="N42" s="154"/>
      <c r="O42" s="155"/>
      <c r="P42" s="158"/>
      <c r="R42" s="50" t="str">
        <f>IF(V42='Request #43'!V42,"OK","Send in Change Order")</f>
        <v>OK</v>
      </c>
      <c r="S42" s="85">
        <v>31</v>
      </c>
      <c r="T42" s="86" t="s">
        <v>82</v>
      </c>
      <c r="U42" s="218">
        <f>'Request #43'!U42</f>
        <v>0</v>
      </c>
      <c r="V42" s="87">
        <f>'Request #43'!V42</f>
        <v>0</v>
      </c>
      <c r="W42" s="88">
        <f>SUMIF(F7:F79,31,E7:E79)</f>
        <v>0</v>
      </c>
      <c r="X42" s="88">
        <f>'Request #43'!Y42</f>
        <v>0</v>
      </c>
      <c r="Y42" s="88">
        <f t="shared" si="1"/>
        <v>0</v>
      </c>
      <c r="Z42" s="88">
        <f t="shared" si="2"/>
        <v>0</v>
      </c>
      <c r="AA42" s="88">
        <f>SUMIF(P7:P79,31,O7:O79)</f>
        <v>0</v>
      </c>
      <c r="AB42" s="50" t="str">
        <f>IF(W42&gt;='Request #43'!AA42,"OK","Alert,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197">
        <f t="shared" si="4"/>
        <v>0</v>
      </c>
      <c r="H43" s="198">
        <f t="shared" si="4"/>
        <v>0</v>
      </c>
      <c r="I43" s="247">
        <f t="shared" si="4"/>
        <v>0</v>
      </c>
      <c r="K43" s="159"/>
      <c r="L43" s="157"/>
      <c r="M43" s="157"/>
      <c r="N43" s="154"/>
      <c r="O43" s="155"/>
      <c r="P43" s="158"/>
      <c r="R43" s="50" t="str">
        <f>IF(V43='Request #43'!V43,"OK","Send in Change Order")</f>
        <v>OK</v>
      </c>
      <c r="S43" s="85">
        <v>32</v>
      </c>
      <c r="T43" s="86" t="s">
        <v>82</v>
      </c>
      <c r="U43" s="218">
        <f>'Request #43'!U43</f>
        <v>0</v>
      </c>
      <c r="V43" s="87">
        <f>'Request #43'!V43</f>
        <v>0</v>
      </c>
      <c r="W43" s="88">
        <f>SUMIF(F7:F79,32,E7:E79)</f>
        <v>0</v>
      </c>
      <c r="X43" s="88">
        <f>'Request #43'!Y43</f>
        <v>0</v>
      </c>
      <c r="Y43" s="88">
        <f t="shared" si="1"/>
        <v>0</v>
      </c>
      <c r="Z43" s="88">
        <f t="shared" si="2"/>
        <v>0</v>
      </c>
      <c r="AA43" s="88">
        <f>SUMIF(P7:P79,32,O7:O79)</f>
        <v>0</v>
      </c>
      <c r="AB43" s="50" t="str">
        <f>IF(W43&gt;='Request #43'!AA43,"OK","Alert,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197">
        <f t="shared" si="4"/>
        <v>38</v>
      </c>
      <c r="H44" s="198" t="str">
        <f t="shared" si="4"/>
        <v>Other Fees</v>
      </c>
      <c r="I44" s="247">
        <f t="shared" si="4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#43'!V44,"OK","Send in Change Order")</f>
        <v>OK</v>
      </c>
      <c r="S44" s="85">
        <v>33</v>
      </c>
      <c r="T44" s="86" t="s">
        <v>82</v>
      </c>
      <c r="U44" s="218">
        <f>'Request #43'!U44</f>
        <v>0</v>
      </c>
      <c r="V44" s="87">
        <f>'Request #43'!V44</f>
        <v>0</v>
      </c>
      <c r="W44" s="88">
        <f>SUMIF(F7:F79,33,E7:E79)</f>
        <v>0</v>
      </c>
      <c r="X44" s="88">
        <f>'Request #43'!Y44</f>
        <v>0</v>
      </c>
      <c r="Y44" s="88">
        <f t="shared" si="1"/>
        <v>0</v>
      </c>
      <c r="Z44" s="88">
        <f t="shared" si="2"/>
        <v>0</v>
      </c>
      <c r="AA44" s="88">
        <f>SUMIF(P7:P79,33,O7:O79)</f>
        <v>0</v>
      </c>
      <c r="AB44" s="50" t="str">
        <f>IF(W44&gt;='Request #43'!AA44,"OK","Alert,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4"/>
        <v>39</v>
      </c>
      <c r="H45" s="205" t="str">
        <f t="shared" si="4"/>
        <v>Other Fees</v>
      </c>
      <c r="I45" s="247">
        <f t="shared" si="4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4"/>
        <v>40</v>
      </c>
      <c r="H46" s="205" t="str">
        <f t="shared" si="4"/>
        <v>Other Fees</v>
      </c>
      <c r="I46" s="247">
        <f t="shared" si="4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197">
        <f t="shared" si="4"/>
        <v>41</v>
      </c>
      <c r="H47" s="198" t="str">
        <f t="shared" si="4"/>
        <v>Other Fees</v>
      </c>
      <c r="I47" s="247">
        <f t="shared" si="4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197">
        <f t="shared" si="4"/>
        <v>42</v>
      </c>
      <c r="H48" s="198" t="str">
        <f t="shared" si="4"/>
        <v>Other Fees</v>
      </c>
      <c r="I48" s="247">
        <f t="shared" si="4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197">
        <f t="shared" si="4"/>
        <v>43</v>
      </c>
      <c r="H49" s="198" t="str">
        <f t="shared" si="4"/>
        <v>Other Fees</v>
      </c>
      <c r="I49" s="247">
        <f t="shared" si="4"/>
        <v>0</v>
      </c>
      <c r="K49" s="159"/>
      <c r="L49" s="157"/>
      <c r="M49" s="157"/>
      <c r="N49" s="154"/>
      <c r="O49" s="155"/>
      <c r="P49" s="158"/>
      <c r="R49" s="50" t="str">
        <f>IF(V49='Request #43'!V49,"OK","Send in Change Order")</f>
        <v>OK</v>
      </c>
      <c r="S49" s="85">
        <v>38</v>
      </c>
      <c r="T49" s="86" t="s">
        <v>82</v>
      </c>
      <c r="U49" s="218">
        <f>'Request #43'!U49</f>
        <v>0</v>
      </c>
      <c r="V49" s="87">
        <f>'Request #43'!V49</f>
        <v>0</v>
      </c>
      <c r="W49" s="88">
        <f>SUMIF(F7:F79,38,E7:E79)</f>
        <v>0</v>
      </c>
      <c r="X49" s="88">
        <f>'Request #43'!Y49</f>
        <v>0</v>
      </c>
      <c r="Y49" s="88">
        <f t="shared" si="1"/>
        <v>0</v>
      </c>
      <c r="Z49" s="88">
        <f t="shared" si="2"/>
        <v>0</v>
      </c>
      <c r="AA49" s="88">
        <f>SUMIF(P7:P79,38,O7:O79)</f>
        <v>0</v>
      </c>
      <c r="AB49" s="50" t="str">
        <f>IF(W49&gt;='Request #43'!AA49,"OK","Alert,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197">
        <f t="shared" si="4"/>
        <v>44</v>
      </c>
      <c r="H50" s="198" t="str">
        <f t="shared" si="4"/>
        <v>Other Fees</v>
      </c>
      <c r="I50" s="247">
        <f t="shared" si="4"/>
        <v>0</v>
      </c>
      <c r="K50" s="159"/>
      <c r="L50" s="157"/>
      <c r="M50" s="157"/>
      <c r="N50" s="154"/>
      <c r="O50" s="155"/>
      <c r="P50" s="158"/>
      <c r="R50" s="50" t="str">
        <f>IF(V50='Request #43'!V50,"OK","Send in Change Order")</f>
        <v>OK</v>
      </c>
      <c r="S50" s="85">
        <v>39</v>
      </c>
      <c r="T50" s="86" t="s">
        <v>82</v>
      </c>
      <c r="U50" s="218">
        <f>'Request #43'!U50</f>
        <v>0</v>
      </c>
      <c r="V50" s="87">
        <f>'Request #43'!V50</f>
        <v>0</v>
      </c>
      <c r="W50" s="88">
        <f>SUMIF(F7:F79,39,E7:E79)</f>
        <v>0</v>
      </c>
      <c r="X50" s="88">
        <f>'Request #43'!Y50</f>
        <v>0</v>
      </c>
      <c r="Y50" s="88">
        <f t="shared" si="1"/>
        <v>0</v>
      </c>
      <c r="Z50" s="88">
        <f t="shared" si="2"/>
        <v>0</v>
      </c>
      <c r="AA50" s="88">
        <f>SUMIF(P7:P79,39,O7:O79)</f>
        <v>0</v>
      </c>
      <c r="AB50" s="50" t="str">
        <f>IF(W50&gt;='Request #43'!AA50,"OK","Alert,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197">
        <f t="shared" si="4"/>
        <v>45</v>
      </c>
      <c r="H51" s="198" t="str">
        <f t="shared" si="4"/>
        <v>Other Fees</v>
      </c>
      <c r="I51" s="247">
        <f t="shared" si="4"/>
        <v>0</v>
      </c>
      <c r="K51" s="159"/>
      <c r="L51" s="157"/>
      <c r="M51" s="157"/>
      <c r="N51" s="154"/>
      <c r="O51" s="155"/>
      <c r="P51" s="158"/>
      <c r="R51" s="50" t="str">
        <f>IF(V51='Request #43'!V51,"OK","Send in Change Order")</f>
        <v>OK</v>
      </c>
      <c r="S51" s="85">
        <v>40</v>
      </c>
      <c r="T51" s="86" t="s">
        <v>82</v>
      </c>
      <c r="U51" s="218">
        <f>'Request #43'!U51</f>
        <v>0</v>
      </c>
      <c r="V51" s="87">
        <f>'Request #43'!V51</f>
        <v>0</v>
      </c>
      <c r="W51" s="88">
        <f>SUMIF(F7:F79,40,E7:E79)</f>
        <v>0</v>
      </c>
      <c r="X51" s="88">
        <f>'Request #43'!Y51</f>
        <v>0</v>
      </c>
      <c r="Y51" s="88">
        <f t="shared" si="1"/>
        <v>0</v>
      </c>
      <c r="Z51" s="88">
        <f t="shared" si="2"/>
        <v>0</v>
      </c>
      <c r="AA51" s="88">
        <f>SUMIF(P7:P79,40,O7:O79)</f>
        <v>0</v>
      </c>
      <c r="AB51" s="50" t="str">
        <f>IF(W51&gt;='Request #43'!AA51,"OK","Alert,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197">
        <f t="shared" si="4"/>
        <v>46</v>
      </c>
      <c r="H52" s="198" t="str">
        <f t="shared" si="4"/>
        <v>Other Fees</v>
      </c>
      <c r="I52" s="247">
        <f t="shared" si="4"/>
        <v>0</v>
      </c>
      <c r="K52" s="159"/>
      <c r="L52" s="157"/>
      <c r="M52" s="157"/>
      <c r="N52" s="154"/>
      <c r="O52" s="155"/>
      <c r="P52" s="158"/>
      <c r="R52" s="50" t="str">
        <f>IF(V52='Request #43'!V52,"OK","Send in Change Order")</f>
        <v>OK</v>
      </c>
      <c r="S52" s="85">
        <v>41</v>
      </c>
      <c r="T52" s="86" t="s">
        <v>82</v>
      </c>
      <c r="U52" s="218">
        <f>'Request #43'!U52</f>
        <v>0</v>
      </c>
      <c r="V52" s="87">
        <f>'Request #43'!V52</f>
        <v>0</v>
      </c>
      <c r="W52" s="88">
        <f>SUMIF(F7:F79,41,E7:E79)</f>
        <v>0</v>
      </c>
      <c r="X52" s="88">
        <f>'Request #43'!Y52</f>
        <v>0</v>
      </c>
      <c r="Y52" s="88">
        <f t="shared" si="1"/>
        <v>0</v>
      </c>
      <c r="Z52" s="88">
        <f t="shared" si="2"/>
        <v>0</v>
      </c>
      <c r="AA52" s="88">
        <f>SUMIF(P7:P79,41,O7:O79)</f>
        <v>0</v>
      </c>
      <c r="AB52" s="50" t="str">
        <f>IF(W52&gt;='Request #43'!AA52,"OK","Alert,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197">
        <f t="shared" si="4"/>
        <v>47</v>
      </c>
      <c r="H53" s="198" t="str">
        <f t="shared" si="4"/>
        <v>Other Fees</v>
      </c>
      <c r="I53" s="247">
        <f t="shared" si="4"/>
        <v>0</v>
      </c>
      <c r="K53" s="159"/>
      <c r="L53" s="157"/>
      <c r="M53" s="157"/>
      <c r="N53" s="154"/>
      <c r="O53" s="155"/>
      <c r="P53" s="158"/>
      <c r="R53" s="50" t="str">
        <f>IF(V53='Request #43'!V53,"OK","Send in Change Order")</f>
        <v>OK</v>
      </c>
      <c r="S53" s="85">
        <v>42</v>
      </c>
      <c r="T53" s="86" t="s">
        <v>82</v>
      </c>
      <c r="U53" s="218">
        <f>'Request #43'!U53</f>
        <v>0</v>
      </c>
      <c r="V53" s="87">
        <f>'Request #43'!V53</f>
        <v>0</v>
      </c>
      <c r="W53" s="88">
        <f>SUMIF(F7:F79,42,E7:E79)</f>
        <v>0</v>
      </c>
      <c r="X53" s="88">
        <f>'Request #43'!Y53</f>
        <v>0</v>
      </c>
      <c r="Y53" s="88">
        <f t="shared" si="1"/>
        <v>0</v>
      </c>
      <c r="Z53" s="88">
        <f t="shared" si="2"/>
        <v>0</v>
      </c>
      <c r="AA53" s="88">
        <f>SUMIF(P7:P79,42,O7:O79)</f>
        <v>0</v>
      </c>
      <c r="AB53" s="50" t="str">
        <f>IF(W53&gt;='Request #43'!AA53,"OK","Alert,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197">
        <f t="shared" si="4"/>
        <v>48</v>
      </c>
      <c r="H54" s="198" t="str">
        <f t="shared" si="4"/>
        <v>Other Fees</v>
      </c>
      <c r="I54" s="247">
        <f t="shared" si="4"/>
        <v>0</v>
      </c>
      <c r="K54" s="159"/>
      <c r="L54" s="157"/>
      <c r="M54" s="157"/>
      <c r="N54" s="154"/>
      <c r="O54" s="155"/>
      <c r="P54" s="158"/>
      <c r="R54" s="50" t="str">
        <f>IF(V54='Request #43'!V54,"OK","Send in Change Order")</f>
        <v>OK</v>
      </c>
      <c r="S54" s="85">
        <v>43</v>
      </c>
      <c r="T54" s="86" t="s">
        <v>82</v>
      </c>
      <c r="U54" s="218">
        <f>'Request #43'!U54</f>
        <v>0</v>
      </c>
      <c r="V54" s="87">
        <f>'Request #43'!V54</f>
        <v>0</v>
      </c>
      <c r="W54" s="88">
        <f>SUMIF(F7:F79,43,E7:E79)</f>
        <v>0</v>
      </c>
      <c r="X54" s="88">
        <f>'Request #43'!Y54</f>
        <v>0</v>
      </c>
      <c r="Y54" s="88">
        <f t="shared" si="1"/>
        <v>0</v>
      </c>
      <c r="Z54" s="88">
        <f t="shared" si="2"/>
        <v>0</v>
      </c>
      <c r="AA54" s="88">
        <f>SUMIF(P7:P79,43,O7:O79)</f>
        <v>0</v>
      </c>
      <c r="AB54" s="50" t="str">
        <f>IF(W54&gt;='Request #43'!AA54,"OK","Alert,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197">
        <f t="shared" si="4"/>
        <v>49</v>
      </c>
      <c r="H55" s="198" t="str">
        <f t="shared" si="4"/>
        <v>Other Fees</v>
      </c>
      <c r="I55" s="247">
        <f t="shared" si="4"/>
        <v>0</v>
      </c>
      <c r="K55" s="159"/>
      <c r="L55" s="157"/>
      <c r="M55" s="157"/>
      <c r="N55" s="154"/>
      <c r="O55" s="155"/>
      <c r="P55" s="158"/>
      <c r="R55" s="50" t="str">
        <f>IF(V55='Request #43'!V55,"OK","Send in Change Order")</f>
        <v>OK</v>
      </c>
      <c r="S55" s="85">
        <v>44</v>
      </c>
      <c r="T55" s="86" t="s">
        <v>82</v>
      </c>
      <c r="U55" s="218">
        <f>'Request #43'!U55</f>
        <v>0</v>
      </c>
      <c r="V55" s="87">
        <f>'Request #43'!V55</f>
        <v>0</v>
      </c>
      <c r="W55" s="88">
        <f>SUMIF(F7:F79,44,E7:E79)</f>
        <v>0</v>
      </c>
      <c r="X55" s="88">
        <f>'Request #43'!Y55</f>
        <v>0</v>
      </c>
      <c r="Y55" s="88">
        <f t="shared" si="1"/>
        <v>0</v>
      </c>
      <c r="Z55" s="88">
        <f t="shared" si="2"/>
        <v>0</v>
      </c>
      <c r="AA55" s="88">
        <f>SUMIF(P7:P79,44,O7:O79)</f>
        <v>0</v>
      </c>
      <c r="AB55" s="50" t="str">
        <f>IF(W55&gt;='Request #43'!AA55,"OK","Alert,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197">
        <f t="shared" ref="G56:I62" si="5">S61</f>
        <v>50</v>
      </c>
      <c r="H56" s="198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#43'!V56,"OK","Send in Change Order")</f>
        <v>OK</v>
      </c>
      <c r="S56" s="85">
        <v>45</v>
      </c>
      <c r="T56" s="86" t="s">
        <v>82</v>
      </c>
      <c r="U56" s="218">
        <f>'Request #43'!U56</f>
        <v>0</v>
      </c>
      <c r="V56" s="87">
        <f>'Request #43'!V56</f>
        <v>0</v>
      </c>
      <c r="W56" s="88">
        <f>SUMIF(F7:F79,45,E7:E79)</f>
        <v>0</v>
      </c>
      <c r="X56" s="88">
        <f>'Request #43'!Y56</f>
        <v>0</v>
      </c>
      <c r="Y56" s="88">
        <f t="shared" si="1"/>
        <v>0</v>
      </c>
      <c r="Z56" s="88">
        <f t="shared" si="2"/>
        <v>0</v>
      </c>
      <c r="AA56" s="88">
        <f>SUMIF(P7:P79,45,O7:O79)</f>
        <v>0</v>
      </c>
      <c r="AB56" s="50" t="str">
        <f>IF(W56&gt;='Request #43'!AA56,"OK","Alert,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197">
        <f t="shared" si="5"/>
        <v>51</v>
      </c>
      <c r="H57" s="198" t="str">
        <f t="shared" si="5"/>
        <v>Other Fees</v>
      </c>
      <c r="I57" s="247">
        <f t="shared" si="5"/>
        <v>0</v>
      </c>
      <c r="K57" s="159"/>
      <c r="L57" s="157"/>
      <c r="M57" s="157"/>
      <c r="N57" s="154"/>
      <c r="O57" s="155"/>
      <c r="P57" s="158"/>
      <c r="R57" s="50" t="str">
        <f>IF(V57='Request #43'!V57,"OK","Send in Change Order")</f>
        <v>OK</v>
      </c>
      <c r="S57" s="85">
        <v>46</v>
      </c>
      <c r="T57" s="86" t="s">
        <v>82</v>
      </c>
      <c r="U57" s="218">
        <f>'Request #43'!U57</f>
        <v>0</v>
      </c>
      <c r="V57" s="87">
        <f>'Request #43'!V57</f>
        <v>0</v>
      </c>
      <c r="W57" s="88">
        <f>SUMIF(F7:F79,46,E7:E79)</f>
        <v>0</v>
      </c>
      <c r="X57" s="88">
        <f>'Request #43'!Y57</f>
        <v>0</v>
      </c>
      <c r="Y57" s="88">
        <f t="shared" si="1"/>
        <v>0</v>
      </c>
      <c r="Z57" s="88">
        <f t="shared" si="2"/>
        <v>0</v>
      </c>
      <c r="AA57" s="88">
        <f>SUMIF(P7:P79,46,O7:O79)</f>
        <v>0</v>
      </c>
      <c r="AB57" s="50" t="str">
        <f>IF(W57&gt;='Request #43'!AA57,"OK","Alert,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197">
        <f t="shared" si="5"/>
        <v>52</v>
      </c>
      <c r="H58" s="198" t="str">
        <f t="shared" si="5"/>
        <v>Worked Performed by Owner</v>
      </c>
      <c r="I58" s="247">
        <f t="shared" si="5"/>
        <v>0</v>
      </c>
      <c r="K58" s="159"/>
      <c r="L58" s="157"/>
      <c r="M58" s="157"/>
      <c r="N58" s="154"/>
      <c r="O58" s="155"/>
      <c r="P58" s="158"/>
      <c r="R58" s="50" t="str">
        <f>IF(V58='Request #43'!V58,"OK","Send in Change Order")</f>
        <v>OK</v>
      </c>
      <c r="S58" s="85">
        <v>47</v>
      </c>
      <c r="T58" s="86" t="s">
        <v>82</v>
      </c>
      <c r="U58" s="218">
        <f>'Request #43'!U58</f>
        <v>0</v>
      </c>
      <c r="V58" s="87">
        <f>'Request #43'!V58</f>
        <v>0</v>
      </c>
      <c r="W58" s="88">
        <f>SUMIF(F7:F79,47,E7:E79)</f>
        <v>0</v>
      </c>
      <c r="X58" s="88">
        <f>'Request #43'!Y58</f>
        <v>0</v>
      </c>
      <c r="Y58" s="88">
        <f t="shared" si="1"/>
        <v>0</v>
      </c>
      <c r="Z58" s="88">
        <f t="shared" si="2"/>
        <v>0</v>
      </c>
      <c r="AA58" s="88">
        <f>SUMIF(P7:P79,47,O7:O79)</f>
        <v>0</v>
      </c>
      <c r="AB58" s="50" t="str">
        <f>IF(W58&gt;='Request #43'!AA58,"OK","Alert,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197">
        <f t="shared" si="5"/>
        <v>53</v>
      </c>
      <c r="H59" s="198" t="str">
        <f t="shared" si="5"/>
        <v>Equipment (Major)</v>
      </c>
      <c r="I59" s="247">
        <f t="shared" si="5"/>
        <v>0</v>
      </c>
      <c r="K59" s="159"/>
      <c r="L59" s="157"/>
      <c r="M59" s="157"/>
      <c r="N59" s="154"/>
      <c r="O59" s="155"/>
      <c r="P59" s="158"/>
      <c r="R59" s="50" t="str">
        <f>IF(V59='Request #43'!V59,"OK","Send in Change Order")</f>
        <v>OK</v>
      </c>
      <c r="S59" s="85">
        <v>48</v>
      </c>
      <c r="T59" s="86" t="s">
        <v>82</v>
      </c>
      <c r="U59" s="218">
        <f>'Request #43'!U59</f>
        <v>0</v>
      </c>
      <c r="V59" s="87">
        <f>'Request #43'!V59</f>
        <v>0</v>
      </c>
      <c r="W59" s="88">
        <f>SUMIF(F7:F79,48,E7:E79)</f>
        <v>0</v>
      </c>
      <c r="X59" s="88">
        <f>'Request #43'!Y59</f>
        <v>0</v>
      </c>
      <c r="Y59" s="88">
        <f t="shared" si="1"/>
        <v>0</v>
      </c>
      <c r="Z59" s="88">
        <f t="shared" si="2"/>
        <v>0</v>
      </c>
      <c r="AA59" s="88">
        <f>SUMIF(P7:P79,48,O7:O79)</f>
        <v>0</v>
      </c>
      <c r="AB59" s="50" t="str">
        <f>IF(W59&gt;='Request #43'!AA59,"OK","Alert,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197">
        <f t="shared" si="5"/>
        <v>54</v>
      </c>
      <c r="H60" s="198" t="str">
        <f t="shared" si="5"/>
        <v>Contingency Fund</v>
      </c>
      <c r="I60" s="247">
        <f t="shared" si="5"/>
        <v>0</v>
      </c>
      <c r="K60" s="159"/>
      <c r="L60" s="157"/>
      <c r="M60" s="157"/>
      <c r="N60" s="154"/>
      <c r="O60" s="155"/>
      <c r="P60" s="158"/>
      <c r="R60" s="50" t="str">
        <f>IF(V60='Request #43'!V60,"OK","Send in Change Order")</f>
        <v>OK</v>
      </c>
      <c r="S60" s="85">
        <v>49</v>
      </c>
      <c r="T60" s="86" t="s">
        <v>82</v>
      </c>
      <c r="U60" s="218">
        <f>'Request #43'!U60</f>
        <v>0</v>
      </c>
      <c r="V60" s="87">
        <f>'Request #43'!V60</f>
        <v>0</v>
      </c>
      <c r="W60" s="88">
        <f>SUMIF(F7:F79,49,E7:E79)</f>
        <v>0</v>
      </c>
      <c r="X60" s="88">
        <f>'Request #43'!Y60</f>
        <v>0</v>
      </c>
      <c r="Y60" s="88">
        <f t="shared" si="1"/>
        <v>0</v>
      </c>
      <c r="Z60" s="88">
        <f t="shared" si="2"/>
        <v>0</v>
      </c>
      <c r="AA60" s="88">
        <f>SUMIF(P7:P79,49,O7:O79)</f>
        <v>0</v>
      </c>
      <c r="AB60" s="50" t="str">
        <f>IF(W60&gt;='Request #43'!AA60,"OK","Alert,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197">
        <f t="shared" si="5"/>
        <v>55</v>
      </c>
      <c r="H61" s="198">
        <f t="shared" si="5"/>
        <v>0</v>
      </c>
      <c r="I61" s="247">
        <f t="shared" si="5"/>
        <v>0</v>
      </c>
      <c r="K61" s="159"/>
      <c r="L61" s="157"/>
      <c r="M61" s="157"/>
      <c r="N61" s="154"/>
      <c r="O61" s="155"/>
      <c r="P61" s="158"/>
      <c r="R61" s="50" t="str">
        <f>IF(V61='Request #43'!V61,"OK","Send in Change Order")</f>
        <v>OK</v>
      </c>
      <c r="S61" s="85">
        <v>50</v>
      </c>
      <c r="T61" s="86" t="s">
        <v>82</v>
      </c>
      <c r="U61" s="218">
        <f>'Request #43'!U61</f>
        <v>0</v>
      </c>
      <c r="V61" s="87">
        <f>'Request #43'!V61</f>
        <v>0</v>
      </c>
      <c r="W61" s="88">
        <f>SUMIF(F7:F79,50,E7:E79)</f>
        <v>0</v>
      </c>
      <c r="X61" s="88">
        <f>'Request #43'!Y61</f>
        <v>0</v>
      </c>
      <c r="Y61" s="88">
        <f t="shared" si="1"/>
        <v>0</v>
      </c>
      <c r="Z61" s="88">
        <f t="shared" si="2"/>
        <v>0</v>
      </c>
      <c r="AA61" s="88">
        <f>SUMIF(P7:P79,50,O7:O79)</f>
        <v>0</v>
      </c>
      <c r="AB61" s="50" t="str">
        <f>IF(W61&gt;='Request #43'!AA61,"OK","Alert,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197">
        <f t="shared" si="5"/>
        <v>56</v>
      </c>
      <c r="H62" s="198">
        <f t="shared" si="5"/>
        <v>0</v>
      </c>
      <c r="I62" s="247">
        <f t="shared" si="5"/>
        <v>0</v>
      </c>
      <c r="K62" s="159"/>
      <c r="L62" s="157"/>
      <c r="M62" s="157"/>
      <c r="N62" s="154"/>
      <c r="O62" s="155"/>
      <c r="P62" s="158"/>
      <c r="R62" s="50" t="str">
        <f>IF(V62='Request #43'!V62,"OK","Send in Change Order")</f>
        <v>OK</v>
      </c>
      <c r="S62" s="85">
        <v>51</v>
      </c>
      <c r="T62" s="86" t="s">
        <v>82</v>
      </c>
      <c r="U62" s="218">
        <f>'Request #43'!U62</f>
        <v>0</v>
      </c>
      <c r="V62" s="87">
        <f>'Request #43'!V62</f>
        <v>0</v>
      </c>
      <c r="W62" s="88">
        <f>SUMIF(F7:F79,51,E7:E79)</f>
        <v>0</v>
      </c>
      <c r="X62" s="88">
        <f>'Request #43'!Y62</f>
        <v>0</v>
      </c>
      <c r="Y62" s="88">
        <f t="shared" si="1"/>
        <v>0</v>
      </c>
      <c r="Z62" s="88">
        <f t="shared" si="2"/>
        <v>0</v>
      </c>
      <c r="AA62" s="88">
        <f>SUMIF(P7:P79,51,O7:O79)</f>
        <v>0</v>
      </c>
      <c r="AB62" s="50" t="str">
        <f>IF(W62&gt;='Request #43'!AA62,"OK","Alert,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#43'!V63,"OK","Send in Change Order")</f>
        <v>OK</v>
      </c>
      <c r="S63" s="85">
        <v>52</v>
      </c>
      <c r="T63" s="86" t="s">
        <v>88</v>
      </c>
      <c r="U63" s="218">
        <f>'Request #43'!U63</f>
        <v>0</v>
      </c>
      <c r="V63" s="87">
        <f>'Request #43'!V63</f>
        <v>0</v>
      </c>
      <c r="W63" s="88">
        <f>SUMIF(F7:F79,52,E7:E79)</f>
        <v>0</v>
      </c>
      <c r="X63" s="88">
        <f>'Request #43'!Y63</f>
        <v>0</v>
      </c>
      <c r="Y63" s="88">
        <f t="shared" si="1"/>
        <v>0</v>
      </c>
      <c r="Z63" s="88">
        <f t="shared" si="2"/>
        <v>0</v>
      </c>
      <c r="AA63" s="88">
        <f>SUMIF(P7:P79,52,O7:O79)</f>
        <v>0</v>
      </c>
      <c r="AB63" s="50" t="str">
        <f>IF(W63&gt;='Request #43'!AA63,"OK","Alert,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#43'!V64,"OK","Send in Change Order")</f>
        <v>OK</v>
      </c>
      <c r="S64" s="85">
        <v>53</v>
      </c>
      <c r="T64" s="86" t="s">
        <v>89</v>
      </c>
      <c r="U64" s="218">
        <f>'Request #43'!U64</f>
        <v>0</v>
      </c>
      <c r="V64" s="87">
        <f>'Request #43'!V64</f>
        <v>0</v>
      </c>
      <c r="W64" s="88">
        <f>SUMIF(F7:F79,53,E7:E79)</f>
        <v>0</v>
      </c>
      <c r="X64" s="88">
        <f>'Request #43'!Y64</f>
        <v>0</v>
      </c>
      <c r="Y64" s="88">
        <f t="shared" si="1"/>
        <v>0</v>
      </c>
      <c r="Z64" s="88">
        <f t="shared" si="2"/>
        <v>0</v>
      </c>
      <c r="AA64" s="88">
        <f>SUMIF(P7:P79,53,O7:O79)</f>
        <v>0</v>
      </c>
      <c r="AB64" s="50" t="str">
        <f>IF(W64&gt;='Request #43'!AA64,"OK","Alert,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#43'!V65,"OK","Send in Change Order")</f>
        <v>OK</v>
      </c>
      <c r="S65" s="85">
        <v>54</v>
      </c>
      <c r="T65" s="102" t="s">
        <v>90</v>
      </c>
      <c r="U65" s="218">
        <f>'Request #43'!U65</f>
        <v>0</v>
      </c>
      <c r="V65" s="87">
        <f>'Request #43'!V65</f>
        <v>0</v>
      </c>
      <c r="W65" s="104"/>
      <c r="X65" s="88">
        <f>'Request #43'!Y65</f>
        <v>0</v>
      </c>
      <c r="Y65" s="88">
        <f t="shared" si="1"/>
        <v>0</v>
      </c>
      <c r="Z65" s="88">
        <f t="shared" si="2"/>
        <v>0</v>
      </c>
      <c r="AA65" s="104"/>
      <c r="AB65" s="50" t="str">
        <f>IF(W65&gt;='Request #43'!AA65,"OK","Alert,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#43'!V66,"OK","Send in Change Order")</f>
        <v>OK</v>
      </c>
      <c r="S66" s="85">
        <v>55</v>
      </c>
      <c r="T66" s="86"/>
      <c r="U66" s="218">
        <f>'Request #43'!U66</f>
        <v>0</v>
      </c>
      <c r="V66" s="87">
        <f>'Request #43'!V66</f>
        <v>0</v>
      </c>
      <c r="W66" s="88">
        <f>SUMIF(F7:F79,55,E7:E79)</f>
        <v>0</v>
      </c>
      <c r="X66" s="88">
        <f>'Request #43'!Y66</f>
        <v>0</v>
      </c>
      <c r="Y66" s="88">
        <f t="shared" si="1"/>
        <v>0</v>
      </c>
      <c r="Z66" s="88">
        <f t="shared" si="2"/>
        <v>0</v>
      </c>
      <c r="AA66" s="88">
        <f>SUMIF(P7:P79,55,O7:O79)</f>
        <v>0</v>
      </c>
      <c r="AB66" s="50" t="str">
        <f>IF(W66&gt;='Request #43'!AA66,"OK","Alert,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#43'!V67,"OK","Send in Change Order")</f>
        <v>OK</v>
      </c>
      <c r="S67" s="85">
        <v>56</v>
      </c>
      <c r="T67" s="79"/>
      <c r="U67" s="218">
        <f>'Request #43'!U67</f>
        <v>0</v>
      </c>
      <c r="V67" s="87">
        <f>'Request #43'!V67</f>
        <v>0</v>
      </c>
      <c r="W67" s="88">
        <f>SUMIF(F7:F79,56,E7:E79)</f>
        <v>0</v>
      </c>
      <c r="X67" s="88">
        <f>'Request #43'!Y67</f>
        <v>0</v>
      </c>
      <c r="Y67" s="88">
        <f t="shared" si="1"/>
        <v>0</v>
      </c>
      <c r="Z67" s="88">
        <f t="shared" si="2"/>
        <v>0</v>
      </c>
      <c r="AA67" s="88">
        <f>SUMIF(P7:P79,56,O7:O79)</f>
        <v>0</v>
      </c>
      <c r="AB67" s="50" t="str">
        <f>IF(W67&gt;='Request #43'!AA67,"OK","Alert,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#43'!V68,"OK","Send in Change Order")</f>
        <v>OK</v>
      </c>
      <c r="S68" s="316" t="s">
        <v>60</v>
      </c>
      <c r="T68" s="317"/>
      <c r="U68" s="166" t="s">
        <v>91</v>
      </c>
      <c r="V68" s="263">
        <f t="shared" ref="V68:AA68" si="6">SUM(V12:V67)</f>
        <v>0</v>
      </c>
      <c r="W68" s="105">
        <f t="shared" si="6"/>
        <v>0</v>
      </c>
      <c r="X68" s="105">
        <f t="shared" si="6"/>
        <v>0</v>
      </c>
      <c r="Y68" s="105">
        <f t="shared" si="6"/>
        <v>0</v>
      </c>
      <c r="Z68" s="105">
        <f t="shared" si="6"/>
        <v>0</v>
      </c>
      <c r="AA68" s="105">
        <f t="shared" si="6"/>
        <v>0</v>
      </c>
      <c r="AB68" s="50" t="str">
        <f>IF(W68&gt;='Request #43'!AA68,"OK","Alert,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108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167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190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119" t="e">
        <f>V72/V68</f>
        <v>#DIV/0!</v>
      </c>
      <c r="V72" s="88">
        <f>V68-V74-V73</f>
        <v>0</v>
      </c>
      <c r="W72" s="87">
        <v>0</v>
      </c>
      <c r="X72" s="88">
        <f>'Request #43'!Y72</f>
        <v>0</v>
      </c>
      <c r="Y72" s="88">
        <f t="shared" ref="Y72:Y73" si="7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S73" s="86" t="s">
        <v>95</v>
      </c>
      <c r="T73" s="114"/>
      <c r="U73" s="119" t="e">
        <f>V73/V68</f>
        <v>#DIV/0!</v>
      </c>
      <c r="V73" s="87">
        <f>'Request #43'!V73</f>
        <v>0</v>
      </c>
      <c r="W73" s="87">
        <v>0</v>
      </c>
      <c r="X73" s="88">
        <f>'Request #43'!Y73</f>
        <v>0</v>
      </c>
      <c r="Y73" s="88">
        <f t="shared" si="7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S74" s="120" t="s">
        <v>96</v>
      </c>
      <c r="T74" s="121"/>
      <c r="U74" s="119" t="e">
        <f>V74/V68</f>
        <v>#DIV/0!</v>
      </c>
      <c r="V74" s="87">
        <f>'Request #43'!V74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55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1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114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114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136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55"/>
      <c r="V80" s="55"/>
      <c r="W80" s="55"/>
      <c r="X80" s="138"/>
      <c r="Y80" s="45" t="s">
        <v>108</v>
      </c>
      <c r="Z80" s="43"/>
      <c r="AA80" s="88">
        <f>'Request #43'!AA79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44</v>
      </c>
      <c r="V87" s="55"/>
      <c r="W87" s="55"/>
      <c r="X87" s="138"/>
      <c r="Y87" s="45" t="s">
        <v>108</v>
      </c>
      <c r="Z87" s="43"/>
      <c r="AA87" s="88">
        <f>'Request #43'!AA86</f>
        <v>0</v>
      </c>
      <c r="AB87" s="110"/>
    </row>
    <row r="88" spans="1:28" ht="30" customHeight="1" thickBot="1" x14ac:dyDescent="0.35">
      <c r="S88" s="55"/>
      <c r="T88" s="55"/>
      <c r="U88" s="55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55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55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55"/>
      <c r="V91" s="55"/>
      <c r="W91" s="55"/>
      <c r="X91" s="55"/>
    </row>
    <row r="92" spans="1:28" ht="30" customHeight="1" x14ac:dyDescent="0.3">
      <c r="S92" s="55"/>
      <c r="T92" s="55"/>
      <c r="U92" s="55"/>
      <c r="V92" s="55"/>
      <c r="W92" s="55"/>
      <c r="X92" s="55"/>
    </row>
    <row r="93" spans="1:28" ht="30" customHeight="1" x14ac:dyDescent="0.3">
      <c r="S93" s="55"/>
      <c r="T93" s="55"/>
      <c r="U93" s="55"/>
      <c r="V93" s="55"/>
      <c r="W93" s="55"/>
      <c r="X93" s="55"/>
    </row>
    <row r="94" spans="1:28" ht="30" customHeight="1" x14ac:dyDescent="0.3">
      <c r="S94" s="55"/>
      <c r="T94" s="55"/>
      <c r="U94" s="55"/>
      <c r="V94" s="55"/>
      <c r="W94" s="55"/>
      <c r="X94" s="55"/>
    </row>
    <row r="95" spans="1:28" ht="30" customHeight="1" x14ac:dyDescent="0.3">
      <c r="S95" s="55"/>
      <c r="T95" s="55"/>
      <c r="U95" s="55"/>
      <c r="V95" s="55"/>
      <c r="W95" s="55"/>
      <c r="X95" s="55"/>
    </row>
    <row r="96" spans="1:28" ht="30" customHeight="1" x14ac:dyDescent="0.3">
      <c r="S96" s="55"/>
      <c r="T96" s="55"/>
      <c r="U96" s="55"/>
      <c r="V96" s="55"/>
      <c r="W96" s="55"/>
      <c r="X96" s="55"/>
    </row>
    <row r="97" spans="15:24" ht="30" customHeight="1" x14ac:dyDescent="0.3">
      <c r="S97" s="55"/>
      <c r="T97" s="55"/>
      <c r="U97" s="55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1wxqKLyTY5VjWNKkjleUv3Xa3oHQPDsUf45J7rA42E6mhWPxa2vRwq9BvGFc1G5EK3cagkr7+sxrtyFzdNTLmA==" saltValue="xXW3vidZrXSMSLAHtJPHew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6:Z86"/>
    <mergeCell ref="S68:T68"/>
    <mergeCell ref="S70:T70"/>
    <mergeCell ref="Y76:AA76"/>
    <mergeCell ref="W77:W79"/>
    <mergeCell ref="Y79:Z79"/>
    <mergeCell ref="Y83:AA83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43" priority="10" operator="containsText" text="Change">
      <formula>NOT(ISERROR(SEARCH("Change",R1)))</formula>
    </cfRule>
  </conditionalFormatting>
  <conditionalFormatting sqref="R45:R48">
    <cfRule type="cellIs" dxfId="42" priority="7" operator="equal">
      <formula>"Send in Change Order"</formula>
    </cfRule>
  </conditionalFormatting>
  <conditionalFormatting sqref="W68">
    <cfRule type="cellIs" dxfId="41" priority="2" operator="notEqual">
      <formula>$E$82</formula>
    </cfRule>
    <cfRule type="cellIs" dxfId="40" priority="3" operator="greaterThan">
      <formula>$E$82</formula>
    </cfRule>
    <cfRule type="cellIs" dxfId="39" priority="4" operator="notEqual">
      <formula>$E$82</formula>
    </cfRule>
  </conditionalFormatting>
  <conditionalFormatting sqref="Z12:Z44">
    <cfRule type="cellIs" dxfId="38" priority="8" operator="lessThan">
      <formula>0</formula>
    </cfRule>
  </conditionalFormatting>
  <conditionalFormatting sqref="Z49:Z68">
    <cfRule type="cellIs" dxfId="37" priority="5" operator="lessThan">
      <formula>0</formula>
    </cfRule>
  </conditionalFormatting>
  <conditionalFormatting sqref="AA68">
    <cfRule type="cellIs" dxfId="36" priority="1" operator="notEqual">
      <formula>$O$82</formula>
    </cfRule>
  </conditionalFormatting>
  <conditionalFormatting sqref="AB1:AB1048576">
    <cfRule type="containsText" dxfId="35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6" manualBreakCount="6">
    <brk id="6" max="1048575" man="1"/>
    <brk id="10" max="1048575" man="1"/>
    <brk id="16" max="88" man="1"/>
    <brk id="18" max="1048575" man="1"/>
    <brk id="27" max="1048575" man="1"/>
    <brk id="29" max="104857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10937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21875" style="50" customWidth="1"/>
    <col min="19" max="19" width="6.109375" style="39" customWidth="1"/>
    <col min="20" max="20" width="31.33203125" style="39" customWidth="1"/>
    <col min="21" max="21" width="17.77734375" style="39" customWidth="1"/>
    <col min="22" max="27" width="18.88671875" style="39" customWidth="1"/>
    <col min="28" max="28" width="24.3320312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53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45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53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53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195" t="s">
        <v>35</v>
      </c>
      <c r="H6" s="196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55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197">
        <f>S12</f>
        <v>1</v>
      </c>
      <c r="H7" s="198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197">
        <f t="shared" ref="G8:I23" si="0">S13</f>
        <v>2</v>
      </c>
      <c r="H8" s="198" t="str">
        <f t="shared" si="0"/>
        <v>General Contract</v>
      </c>
      <c r="I8" s="247">
        <f t="shared" si="0"/>
        <v>0</v>
      </c>
      <c r="K8" s="152"/>
      <c r="L8" s="157"/>
      <c r="M8" s="157"/>
      <c r="N8" s="154"/>
      <c r="O8" s="155"/>
      <c r="P8" s="158"/>
      <c r="S8" s="66"/>
      <c r="T8" s="67"/>
      <c r="U8" s="68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197">
        <f t="shared" si="0"/>
        <v>3</v>
      </c>
      <c r="H9" s="198" t="str">
        <f t="shared" si="0"/>
        <v>Architect Contract</v>
      </c>
      <c r="I9" s="247">
        <f t="shared" si="0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74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45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197">
        <f t="shared" si="0"/>
        <v>4</v>
      </c>
      <c r="H10" s="198" t="str">
        <f t="shared" si="0"/>
        <v>Architect Reimbursables</v>
      </c>
      <c r="I10" s="247">
        <f t="shared" si="0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197">
        <f t="shared" si="0"/>
        <v>5</v>
      </c>
      <c r="H11" s="198" t="str">
        <f t="shared" si="0"/>
        <v>Other Contracts</v>
      </c>
      <c r="I11" s="247">
        <f t="shared" si="0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80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197">
        <f t="shared" si="0"/>
        <v>6</v>
      </c>
      <c r="H12" s="198" t="str">
        <f t="shared" si="0"/>
        <v>Other Contracts</v>
      </c>
      <c r="I12" s="247">
        <f t="shared" si="0"/>
        <v>0</v>
      </c>
      <c r="K12" s="152"/>
      <c r="L12" s="157"/>
      <c r="M12" s="157"/>
      <c r="N12" s="154"/>
      <c r="O12" s="155"/>
      <c r="P12" s="158"/>
      <c r="R12" s="50" t="str">
        <f>IF(V12='Request #44'!V12,"OK","Send in Change Order")</f>
        <v>OK</v>
      </c>
      <c r="S12" s="85">
        <v>1</v>
      </c>
      <c r="T12" s="86" t="str">
        <f>'Request #35'!T12</f>
        <v>Land/Site Grading &amp; Improv.</v>
      </c>
      <c r="U12" s="218">
        <f>'Request #44'!U12</f>
        <v>0</v>
      </c>
      <c r="V12" s="87">
        <f>'Request #44'!V12</f>
        <v>0</v>
      </c>
      <c r="W12" s="88">
        <f>SUMIF(F7:F79,1,E7:E79)</f>
        <v>0</v>
      </c>
      <c r="X12" s="88">
        <f>'Request #44'!Y12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#44'!AA12,"OK","Alert,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197">
        <f t="shared" si="0"/>
        <v>7</v>
      </c>
      <c r="H13" s="198" t="str">
        <f t="shared" si="0"/>
        <v>Other Contracts</v>
      </c>
      <c r="I13" s="247">
        <f t="shared" si="0"/>
        <v>0</v>
      </c>
      <c r="K13" s="152"/>
      <c r="L13" s="157"/>
      <c r="M13" s="157"/>
      <c r="N13" s="154"/>
      <c r="O13" s="155"/>
      <c r="P13" s="158"/>
      <c r="R13" s="50" t="str">
        <f>IF(V13='Request #44'!V13,"OK","Send in Change Order")</f>
        <v>OK</v>
      </c>
      <c r="S13" s="85">
        <v>2</v>
      </c>
      <c r="T13" s="86" t="s">
        <v>122</v>
      </c>
      <c r="U13" s="218">
        <f>'Request #44'!U13</f>
        <v>0</v>
      </c>
      <c r="V13" s="87">
        <f>'Request #44'!V13</f>
        <v>0</v>
      </c>
      <c r="W13" s="88">
        <f>SUMIF(F7:F79,2,E7:E79)</f>
        <v>0</v>
      </c>
      <c r="X13" s="88">
        <f>'Request #44'!Y13</f>
        <v>0</v>
      </c>
      <c r="Y13" s="88">
        <f t="shared" ref="Y13:Y67" si="1">W13+X13</f>
        <v>0</v>
      </c>
      <c r="Z13" s="88">
        <f t="shared" ref="Z13:Z67" si="2">V13-Y13</f>
        <v>0</v>
      </c>
      <c r="AA13" s="88">
        <f>SUMIF(P7:P79,2,O7:O79)</f>
        <v>0</v>
      </c>
      <c r="AB13" s="50" t="str">
        <f>IF(W13&gt;='Request #44'!AA13,"OK","Alert,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197">
        <f t="shared" si="0"/>
        <v>8</v>
      </c>
      <c r="H14" s="198" t="str">
        <f t="shared" si="0"/>
        <v>Other Contracts</v>
      </c>
      <c r="I14" s="247">
        <f t="shared" si="0"/>
        <v>0</v>
      </c>
      <c r="K14" s="159"/>
      <c r="L14" s="157"/>
      <c r="M14" s="157"/>
      <c r="N14" s="154"/>
      <c r="O14" s="155"/>
      <c r="P14" s="158"/>
      <c r="R14" s="50" t="str">
        <f>IF(V14='Request #44'!V14,"OK","Send in Change Order")</f>
        <v>OK</v>
      </c>
      <c r="S14" s="85">
        <v>3</v>
      </c>
      <c r="T14" s="86" t="s">
        <v>123</v>
      </c>
      <c r="U14" s="218">
        <f>'Request #44'!U14</f>
        <v>0</v>
      </c>
      <c r="V14" s="87">
        <f>'Request #44'!V14</f>
        <v>0</v>
      </c>
      <c r="W14" s="88">
        <f>SUMIF(F7:F79,3,E7:E79)</f>
        <v>0</v>
      </c>
      <c r="X14" s="88">
        <f>'Request #44'!Y14</f>
        <v>0</v>
      </c>
      <c r="Y14" s="88">
        <f t="shared" si="1"/>
        <v>0</v>
      </c>
      <c r="Z14" s="88">
        <f t="shared" si="2"/>
        <v>0</v>
      </c>
      <c r="AA14" s="88">
        <f>SUMIF(P7:P79,3,O7:O79)</f>
        <v>0</v>
      </c>
      <c r="AB14" s="50" t="str">
        <f>IF(W14&gt;='Request #44'!AA14,"OK","Alert,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197">
        <f t="shared" si="0"/>
        <v>9</v>
      </c>
      <c r="H15" s="198" t="str">
        <f t="shared" si="0"/>
        <v>Other Contracts</v>
      </c>
      <c r="I15" s="247">
        <f t="shared" si="0"/>
        <v>0</v>
      </c>
      <c r="K15" s="159"/>
      <c r="L15" s="157"/>
      <c r="M15" s="157"/>
      <c r="N15" s="154"/>
      <c r="O15" s="155"/>
      <c r="P15" s="158"/>
      <c r="R15" s="50" t="str">
        <f>IF(V15='Request #44'!V15,"OK","Send in Change Order")</f>
        <v>OK</v>
      </c>
      <c r="S15" s="85">
        <v>4</v>
      </c>
      <c r="T15" s="86" t="s">
        <v>124</v>
      </c>
      <c r="U15" s="218">
        <f>'Request #44'!U15</f>
        <v>0</v>
      </c>
      <c r="V15" s="87">
        <f>'Request #44'!V15</f>
        <v>0</v>
      </c>
      <c r="W15" s="88">
        <f>SUMIF(F7:F79,4,E7:E79)</f>
        <v>0</v>
      </c>
      <c r="X15" s="88">
        <f>'Request #44'!Y15</f>
        <v>0</v>
      </c>
      <c r="Y15" s="88">
        <f t="shared" si="1"/>
        <v>0</v>
      </c>
      <c r="Z15" s="88">
        <f t="shared" si="2"/>
        <v>0</v>
      </c>
      <c r="AA15" s="88">
        <f>SUMIF(P7:P79,4,O7:O79)</f>
        <v>0</v>
      </c>
      <c r="AB15" s="50" t="str">
        <f>IF(W15&gt;='Request #44'!AA15,"OK","Alert,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197">
        <f t="shared" si="0"/>
        <v>10</v>
      </c>
      <c r="H16" s="198" t="str">
        <f t="shared" si="0"/>
        <v>Other Contracts</v>
      </c>
      <c r="I16" s="247">
        <f t="shared" si="0"/>
        <v>0</v>
      </c>
      <c r="K16" s="152"/>
      <c r="L16" s="157"/>
      <c r="M16" s="157"/>
      <c r="N16" s="154"/>
      <c r="O16" s="155"/>
      <c r="P16" s="158"/>
      <c r="R16" s="50" t="str">
        <f>IF(V16='Request #44'!V16,"OK","Send in Change Order")</f>
        <v>OK</v>
      </c>
      <c r="S16" s="85">
        <v>5</v>
      </c>
      <c r="T16" s="86" t="s">
        <v>71</v>
      </c>
      <c r="U16" s="218">
        <f>'Request #44'!U16</f>
        <v>0</v>
      </c>
      <c r="V16" s="87">
        <f>'Request #44'!V16</f>
        <v>0</v>
      </c>
      <c r="W16" s="88">
        <f>SUMIF(F7:F79,5,E7:E79)</f>
        <v>0</v>
      </c>
      <c r="X16" s="88">
        <f>'Request #44'!Y16</f>
        <v>0</v>
      </c>
      <c r="Y16" s="88">
        <f t="shared" si="1"/>
        <v>0</v>
      </c>
      <c r="Z16" s="88">
        <f t="shared" si="2"/>
        <v>0</v>
      </c>
      <c r="AA16" s="88">
        <f>SUMIF(P7:P79,5,O7:O79)</f>
        <v>0</v>
      </c>
      <c r="AB16" s="50" t="str">
        <f>IF(W16&gt;='Request #44'!AA16,"OK","Alert,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197">
        <f t="shared" si="0"/>
        <v>11</v>
      </c>
      <c r="H17" s="198" t="str">
        <f t="shared" si="0"/>
        <v>Other Contracts</v>
      </c>
      <c r="I17" s="247">
        <f t="shared" si="0"/>
        <v>0</v>
      </c>
      <c r="K17" s="152"/>
      <c r="L17" s="157"/>
      <c r="M17" s="157"/>
      <c r="N17" s="154"/>
      <c r="O17" s="155"/>
      <c r="P17" s="158"/>
      <c r="R17" s="50" t="str">
        <f>IF(V17='Request #44'!V17,"OK","Send in Change Order")</f>
        <v>OK</v>
      </c>
      <c r="S17" s="85">
        <v>6</v>
      </c>
      <c r="T17" s="86" t="s">
        <v>71</v>
      </c>
      <c r="U17" s="218">
        <f>'Request #44'!U17</f>
        <v>0</v>
      </c>
      <c r="V17" s="87">
        <f>'Request #44'!V17</f>
        <v>0</v>
      </c>
      <c r="W17" s="88">
        <f>SUMIF(F7:F79,6,E7:E79)</f>
        <v>0</v>
      </c>
      <c r="X17" s="88">
        <f>'Request #44'!Y17</f>
        <v>0</v>
      </c>
      <c r="Y17" s="88">
        <f t="shared" si="1"/>
        <v>0</v>
      </c>
      <c r="Z17" s="88">
        <f t="shared" si="2"/>
        <v>0</v>
      </c>
      <c r="AA17" s="88">
        <f>SUMIF(P7:P79,6,O7:O79)</f>
        <v>0</v>
      </c>
      <c r="AB17" s="50" t="str">
        <f>IF(W17&gt;='Request #44'!AA17,"OK","Alert,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197">
        <f t="shared" si="0"/>
        <v>12</v>
      </c>
      <c r="H18" s="198" t="str">
        <f t="shared" si="0"/>
        <v>Other Contracts</v>
      </c>
      <c r="I18" s="247">
        <f t="shared" si="0"/>
        <v>0</v>
      </c>
      <c r="K18" s="152"/>
      <c r="L18" s="157"/>
      <c r="M18" s="157"/>
      <c r="N18" s="154"/>
      <c r="O18" s="155"/>
      <c r="P18" s="158"/>
      <c r="R18" s="50" t="str">
        <f>IF(V18='Request #44'!V18,"OK","Send in Change Order")</f>
        <v>OK</v>
      </c>
      <c r="S18" s="85">
        <v>7</v>
      </c>
      <c r="T18" s="86" t="s">
        <v>71</v>
      </c>
      <c r="U18" s="218">
        <f>'Request #44'!U18</f>
        <v>0</v>
      </c>
      <c r="V18" s="87">
        <f>'Request #44'!V18</f>
        <v>0</v>
      </c>
      <c r="W18" s="88">
        <f>SUMIF(F7:F79,7,E7:E79)</f>
        <v>0</v>
      </c>
      <c r="X18" s="88">
        <f>'Request #44'!Y18</f>
        <v>0</v>
      </c>
      <c r="Y18" s="88">
        <f t="shared" si="1"/>
        <v>0</v>
      </c>
      <c r="Z18" s="88">
        <f t="shared" si="2"/>
        <v>0</v>
      </c>
      <c r="AA18" s="88">
        <f>SUMIF(P7:P79,7,O7:O79)</f>
        <v>0</v>
      </c>
      <c r="AB18" s="50" t="str">
        <f>IF(W18&gt;='Request #44'!AA18,"OK","Alert,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197">
        <f t="shared" si="0"/>
        <v>13</v>
      </c>
      <c r="H19" s="198" t="str">
        <f t="shared" si="0"/>
        <v>Other Contracts</v>
      </c>
      <c r="I19" s="247">
        <f t="shared" si="0"/>
        <v>0</v>
      </c>
      <c r="K19" s="159"/>
      <c r="L19" s="157"/>
      <c r="M19" s="157"/>
      <c r="N19" s="154"/>
      <c r="O19" s="155"/>
      <c r="P19" s="158"/>
      <c r="R19" s="50" t="str">
        <f>IF(V19='Request #44'!V19,"OK","Send in Change Order")</f>
        <v>OK</v>
      </c>
      <c r="S19" s="85">
        <v>8</v>
      </c>
      <c r="T19" s="86" t="s">
        <v>71</v>
      </c>
      <c r="U19" s="218">
        <f>'Request #44'!U19</f>
        <v>0</v>
      </c>
      <c r="V19" s="87">
        <f>'Request #44'!V19</f>
        <v>0</v>
      </c>
      <c r="W19" s="88">
        <f>SUMIF(F7:F79,8,E7:E79)</f>
        <v>0</v>
      </c>
      <c r="X19" s="88">
        <f>'Request #44'!Y19</f>
        <v>0</v>
      </c>
      <c r="Y19" s="88">
        <f t="shared" si="1"/>
        <v>0</v>
      </c>
      <c r="Z19" s="88">
        <f t="shared" si="2"/>
        <v>0</v>
      </c>
      <c r="AA19" s="88">
        <f>SUMIF(P7:P79,8,O7:O79)</f>
        <v>0</v>
      </c>
      <c r="AB19" s="50" t="str">
        <f>IF(W19&gt;='Request #44'!AA19,"OK","Alert,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197">
        <f t="shared" si="0"/>
        <v>14</v>
      </c>
      <c r="H20" s="198" t="str">
        <f t="shared" si="0"/>
        <v>Other Contracts</v>
      </c>
      <c r="I20" s="247">
        <f t="shared" si="0"/>
        <v>0</v>
      </c>
      <c r="K20" s="152"/>
      <c r="L20" s="157"/>
      <c r="M20" s="157"/>
      <c r="N20" s="154"/>
      <c r="O20" s="155"/>
      <c r="P20" s="158"/>
      <c r="R20" s="50" t="str">
        <f>IF(V20='Request #44'!V20,"OK","Send in Change Order")</f>
        <v>OK</v>
      </c>
      <c r="S20" s="85">
        <v>9</v>
      </c>
      <c r="T20" s="86" t="s">
        <v>71</v>
      </c>
      <c r="U20" s="218">
        <f>'Request #44'!U20</f>
        <v>0</v>
      </c>
      <c r="V20" s="87">
        <f>'Request #44'!V20</f>
        <v>0</v>
      </c>
      <c r="W20" s="88">
        <f>SUMIF(F7:F79,9,E7:E79)</f>
        <v>0</v>
      </c>
      <c r="X20" s="88">
        <f>'Request #44'!Y20</f>
        <v>0</v>
      </c>
      <c r="Y20" s="88">
        <f t="shared" si="1"/>
        <v>0</v>
      </c>
      <c r="Z20" s="88">
        <f t="shared" si="2"/>
        <v>0</v>
      </c>
      <c r="AA20" s="88">
        <f>SUMIF(P7:P79,9,O7:O79)</f>
        <v>0</v>
      </c>
      <c r="AB20" s="50" t="str">
        <f>IF(W20&gt;='Request #44'!AA20,"OK","Alert,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197">
        <f t="shared" si="0"/>
        <v>15</v>
      </c>
      <c r="H21" s="198" t="str">
        <f t="shared" si="0"/>
        <v>Other Contracts</v>
      </c>
      <c r="I21" s="247">
        <f t="shared" si="0"/>
        <v>0</v>
      </c>
      <c r="K21" s="159"/>
      <c r="L21" s="157"/>
      <c r="M21" s="157"/>
      <c r="N21" s="154"/>
      <c r="O21" s="155"/>
      <c r="P21" s="158"/>
      <c r="R21" s="50" t="str">
        <f>IF(V21='Request #44'!V21,"OK","Send in Change Order")</f>
        <v>OK</v>
      </c>
      <c r="S21" s="85">
        <v>10</v>
      </c>
      <c r="T21" s="86" t="s">
        <v>71</v>
      </c>
      <c r="U21" s="218">
        <f>'Request #44'!U21</f>
        <v>0</v>
      </c>
      <c r="V21" s="87">
        <f>'Request #44'!V21</f>
        <v>0</v>
      </c>
      <c r="W21" s="88">
        <f>SUMIF(F7:F79,10,E7:E79)</f>
        <v>0</v>
      </c>
      <c r="X21" s="88">
        <f>'Request #44'!Y21</f>
        <v>0</v>
      </c>
      <c r="Y21" s="88">
        <f t="shared" si="1"/>
        <v>0</v>
      </c>
      <c r="Z21" s="88">
        <f t="shared" si="2"/>
        <v>0</v>
      </c>
      <c r="AA21" s="88">
        <f>SUMIF(P7:P79,10,O7:O79)</f>
        <v>0</v>
      </c>
      <c r="AB21" s="50" t="str">
        <f>IF(W21&gt;='Request #44'!AA21,"OK","Alert,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197">
        <f t="shared" si="0"/>
        <v>16</v>
      </c>
      <c r="H22" s="198" t="str">
        <f t="shared" si="0"/>
        <v>Other Contracts</v>
      </c>
      <c r="I22" s="247">
        <f t="shared" si="0"/>
        <v>0</v>
      </c>
      <c r="K22" s="159"/>
      <c r="L22" s="157"/>
      <c r="M22" s="157"/>
      <c r="N22" s="154"/>
      <c r="O22" s="155"/>
      <c r="P22" s="158"/>
      <c r="R22" s="50" t="str">
        <f>IF(V22='Request #44'!V22,"OK","Send in Change Order")</f>
        <v>OK</v>
      </c>
      <c r="S22" s="85">
        <v>11</v>
      </c>
      <c r="T22" s="86" t="s">
        <v>71</v>
      </c>
      <c r="U22" s="218">
        <f>'Request #44'!U22</f>
        <v>0</v>
      </c>
      <c r="V22" s="87">
        <f>'Request #44'!V22</f>
        <v>0</v>
      </c>
      <c r="W22" s="88">
        <f>SUMIF(F7:F79,11,E7:E79)</f>
        <v>0</v>
      </c>
      <c r="X22" s="88">
        <f>'Request #44'!Y22</f>
        <v>0</v>
      </c>
      <c r="Y22" s="88">
        <f t="shared" si="1"/>
        <v>0</v>
      </c>
      <c r="Z22" s="88">
        <f t="shared" si="2"/>
        <v>0</v>
      </c>
      <c r="AA22" s="88">
        <f>SUMIF(P7:P79,11,O7:O79)</f>
        <v>0</v>
      </c>
      <c r="AB22" s="50" t="str">
        <f>IF(W22&gt;='Request #44'!AA22,"OK","Alert,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197">
        <f t="shared" si="0"/>
        <v>17</v>
      </c>
      <c r="H23" s="198" t="str">
        <f t="shared" si="0"/>
        <v>Other Contracts</v>
      </c>
      <c r="I23" s="247">
        <f t="shared" si="0"/>
        <v>0</v>
      </c>
      <c r="K23" s="159"/>
      <c r="L23" s="157"/>
      <c r="M23" s="157"/>
      <c r="N23" s="154"/>
      <c r="O23" s="155"/>
      <c r="P23" s="158"/>
      <c r="R23" s="50" t="str">
        <f>IF(V23='Request #44'!V23,"OK","Send in Change Order")</f>
        <v>OK</v>
      </c>
      <c r="S23" s="85">
        <v>12</v>
      </c>
      <c r="T23" s="86" t="s">
        <v>71</v>
      </c>
      <c r="U23" s="218">
        <f>'Request #44'!U23</f>
        <v>0</v>
      </c>
      <c r="V23" s="87">
        <f>'Request #44'!V23</f>
        <v>0</v>
      </c>
      <c r="W23" s="88">
        <f>SUMIF(F7:F79,12,E7:E79)</f>
        <v>0</v>
      </c>
      <c r="X23" s="88">
        <f>'Request #44'!Y23</f>
        <v>0</v>
      </c>
      <c r="Y23" s="88">
        <f t="shared" si="1"/>
        <v>0</v>
      </c>
      <c r="Z23" s="88">
        <f t="shared" si="2"/>
        <v>0</v>
      </c>
      <c r="AA23" s="88">
        <f>SUMIF(P7:P79,12,O7:O79)</f>
        <v>0</v>
      </c>
      <c r="AB23" s="50" t="str">
        <f>IF(W23&gt;='Request #44'!AA23,"OK","Alert,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197">
        <f t="shared" ref="G24:I39" si="3">S29</f>
        <v>18</v>
      </c>
      <c r="H24" s="198" t="str">
        <f t="shared" si="3"/>
        <v>Other Contracts</v>
      </c>
      <c r="I24" s="247">
        <f t="shared" si="3"/>
        <v>0</v>
      </c>
      <c r="K24" s="159"/>
      <c r="L24" s="157"/>
      <c r="M24" s="157"/>
      <c r="N24" s="154"/>
      <c r="O24" s="155"/>
      <c r="P24" s="158"/>
      <c r="R24" s="50" t="str">
        <f>IF(V24='Request #44'!V24,"OK","Send in Change Order")</f>
        <v>OK</v>
      </c>
      <c r="S24" s="85">
        <v>13</v>
      </c>
      <c r="T24" s="86" t="s">
        <v>71</v>
      </c>
      <c r="U24" s="218">
        <f>'Request #44'!U24</f>
        <v>0</v>
      </c>
      <c r="V24" s="87">
        <f>'Request #44'!V24</f>
        <v>0</v>
      </c>
      <c r="W24" s="88">
        <f>SUMIF(F7:F79,13,E7:E79)</f>
        <v>0</v>
      </c>
      <c r="X24" s="88">
        <f>'Request #44'!Y24</f>
        <v>0</v>
      </c>
      <c r="Y24" s="88">
        <f t="shared" si="1"/>
        <v>0</v>
      </c>
      <c r="Z24" s="88">
        <f t="shared" si="2"/>
        <v>0</v>
      </c>
      <c r="AA24" s="88">
        <f>SUMIF(P7:P79,13,O7:O79)</f>
        <v>0</v>
      </c>
      <c r="AB24" s="50" t="str">
        <f>IF(W24&gt;='Request #44'!AA24,"OK","Alert,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197">
        <f t="shared" si="3"/>
        <v>19</v>
      </c>
      <c r="H25" s="198" t="str">
        <f t="shared" si="3"/>
        <v>Other Contracts</v>
      </c>
      <c r="I25" s="247">
        <f t="shared" si="3"/>
        <v>0</v>
      </c>
      <c r="K25" s="159"/>
      <c r="L25" s="157"/>
      <c r="M25" s="157"/>
      <c r="N25" s="154"/>
      <c r="O25" s="155"/>
      <c r="P25" s="158"/>
      <c r="R25" s="50" t="str">
        <f>IF(V25='Request #44'!V25,"OK","Send in Change Order")</f>
        <v>OK</v>
      </c>
      <c r="S25" s="85">
        <v>14</v>
      </c>
      <c r="T25" s="86" t="s">
        <v>71</v>
      </c>
      <c r="U25" s="218">
        <f>'Request #44'!U25</f>
        <v>0</v>
      </c>
      <c r="V25" s="87">
        <f>'Request #44'!V25</f>
        <v>0</v>
      </c>
      <c r="W25" s="88">
        <f>SUMIF(F7:F79,14,E7:E79)</f>
        <v>0</v>
      </c>
      <c r="X25" s="88">
        <f>'Request #44'!Y25</f>
        <v>0</v>
      </c>
      <c r="Y25" s="88">
        <f t="shared" si="1"/>
        <v>0</v>
      </c>
      <c r="Z25" s="88">
        <f t="shared" si="2"/>
        <v>0</v>
      </c>
      <c r="AA25" s="88">
        <f>SUMIF(P7:P79,14,O7:O79)</f>
        <v>0</v>
      </c>
      <c r="AB25" s="50" t="str">
        <f>IF(W25&gt;='Request #44'!AA25,"OK","Alert,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197">
        <f t="shared" si="3"/>
        <v>20</v>
      </c>
      <c r="H26" s="198" t="str">
        <f t="shared" si="3"/>
        <v>Other Contracts</v>
      </c>
      <c r="I26" s="247">
        <f t="shared" si="3"/>
        <v>0</v>
      </c>
      <c r="K26" s="159"/>
      <c r="L26" s="157"/>
      <c r="M26" s="157"/>
      <c r="N26" s="154"/>
      <c r="O26" s="155"/>
      <c r="P26" s="158"/>
      <c r="R26" s="50" t="str">
        <f>IF(V26='Request #44'!V26,"OK","Send in Change Order")</f>
        <v>OK</v>
      </c>
      <c r="S26" s="85">
        <v>15</v>
      </c>
      <c r="T26" s="86" t="s">
        <v>71</v>
      </c>
      <c r="U26" s="218">
        <f>'Request #44'!U26</f>
        <v>0</v>
      </c>
      <c r="V26" s="87">
        <f>'Request #44'!V26</f>
        <v>0</v>
      </c>
      <c r="W26" s="88">
        <f>SUMIF(F7:F79,15,E7:E79)</f>
        <v>0</v>
      </c>
      <c r="X26" s="88">
        <f>'Request #44'!Y26</f>
        <v>0</v>
      </c>
      <c r="Y26" s="88">
        <f t="shared" si="1"/>
        <v>0</v>
      </c>
      <c r="Z26" s="88">
        <f t="shared" si="2"/>
        <v>0</v>
      </c>
      <c r="AA26" s="88">
        <f>SUMIF(P7:P79,15,O7:O79)</f>
        <v>0</v>
      </c>
      <c r="AB26" s="50" t="str">
        <f>IF(W26&gt;='Request #44'!AA26,"OK","Alert,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197">
        <f t="shared" si="3"/>
        <v>21</v>
      </c>
      <c r="H27" s="198" t="str">
        <f t="shared" si="3"/>
        <v>Other Contracts</v>
      </c>
      <c r="I27" s="247">
        <f t="shared" si="3"/>
        <v>0</v>
      </c>
      <c r="K27" s="159"/>
      <c r="L27" s="157"/>
      <c r="M27" s="157"/>
      <c r="N27" s="154"/>
      <c r="O27" s="155"/>
      <c r="P27" s="158"/>
      <c r="R27" s="50" t="str">
        <f>IF(V27='Request #44'!V27,"OK","Send in Change Order")</f>
        <v>OK</v>
      </c>
      <c r="S27" s="85">
        <v>16</v>
      </c>
      <c r="T27" s="86" t="s">
        <v>71</v>
      </c>
      <c r="U27" s="218">
        <f>'Request #44'!U27</f>
        <v>0</v>
      </c>
      <c r="V27" s="87">
        <f>'Request #44'!V27</f>
        <v>0</v>
      </c>
      <c r="W27" s="88">
        <f>SUMIF(F7:F79,16,E7:E79)</f>
        <v>0</v>
      </c>
      <c r="X27" s="88">
        <f>'Request #44'!Y27</f>
        <v>0</v>
      </c>
      <c r="Y27" s="88">
        <f t="shared" si="1"/>
        <v>0</v>
      </c>
      <c r="Z27" s="88">
        <f t="shared" si="2"/>
        <v>0</v>
      </c>
      <c r="AA27" s="88">
        <f>SUMIF(P7:P79,16,O7:O79)</f>
        <v>0</v>
      </c>
      <c r="AB27" s="50" t="str">
        <f>IF(W27&gt;='Request #44'!AA27,"OK","Alert,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197">
        <f t="shared" si="3"/>
        <v>22</v>
      </c>
      <c r="H28" s="198" t="str">
        <f t="shared" si="3"/>
        <v>Other Contracts</v>
      </c>
      <c r="I28" s="247">
        <f t="shared" si="3"/>
        <v>0</v>
      </c>
      <c r="K28" s="159"/>
      <c r="L28" s="157"/>
      <c r="M28" s="157"/>
      <c r="N28" s="154"/>
      <c r="O28" s="155"/>
      <c r="P28" s="158"/>
      <c r="R28" s="50" t="str">
        <f>IF(V28='Request #44'!V28,"OK","Send in Change Order")</f>
        <v>OK</v>
      </c>
      <c r="S28" s="85">
        <v>17</v>
      </c>
      <c r="T28" s="86" t="s">
        <v>71</v>
      </c>
      <c r="U28" s="218">
        <f>'Request #44'!U28</f>
        <v>0</v>
      </c>
      <c r="V28" s="87">
        <f>'Request #44'!V28</f>
        <v>0</v>
      </c>
      <c r="W28" s="88">
        <f>SUMIF(F7:F79,17,E7:E79)</f>
        <v>0</v>
      </c>
      <c r="X28" s="88">
        <f>'Request #44'!Y28</f>
        <v>0</v>
      </c>
      <c r="Y28" s="88">
        <f t="shared" si="1"/>
        <v>0</v>
      </c>
      <c r="Z28" s="88">
        <f t="shared" si="2"/>
        <v>0</v>
      </c>
      <c r="AA28" s="88">
        <f>SUMIF(P7:P79,17,O7:O79)</f>
        <v>0</v>
      </c>
      <c r="AB28" s="50" t="str">
        <f>IF(W28&gt;='Request #44'!AA28,"OK","Alert,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197">
        <f t="shared" si="3"/>
        <v>23</v>
      </c>
      <c r="H29" s="198" t="str">
        <f t="shared" si="3"/>
        <v>Other Contracts</v>
      </c>
      <c r="I29" s="247">
        <f t="shared" si="3"/>
        <v>0</v>
      </c>
      <c r="K29" s="159"/>
      <c r="L29" s="157"/>
      <c r="M29" s="157"/>
      <c r="N29" s="154"/>
      <c r="O29" s="155"/>
      <c r="P29" s="158"/>
      <c r="R29" s="50" t="str">
        <f>IF(V29='Request #44'!V29,"OK","Send in Change Order")</f>
        <v>OK</v>
      </c>
      <c r="S29" s="85">
        <v>18</v>
      </c>
      <c r="T29" s="86" t="s">
        <v>71</v>
      </c>
      <c r="U29" s="218">
        <f>'Request #44'!U29</f>
        <v>0</v>
      </c>
      <c r="V29" s="87">
        <f>'Request #44'!V29</f>
        <v>0</v>
      </c>
      <c r="W29" s="88">
        <f>SUMIF(F7:F79,18,E7:E79)</f>
        <v>0</v>
      </c>
      <c r="X29" s="88">
        <f>'Request #44'!Y29</f>
        <v>0</v>
      </c>
      <c r="Y29" s="88">
        <f t="shared" si="1"/>
        <v>0</v>
      </c>
      <c r="Z29" s="88">
        <f t="shared" si="2"/>
        <v>0</v>
      </c>
      <c r="AA29" s="88">
        <f>SUMIF(P7:P79,18,O7:O79)</f>
        <v>0</v>
      </c>
      <c r="AB29" s="50" t="str">
        <f>IF(W29&gt;='Request #44'!AA29,"OK","Alert,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197">
        <f t="shared" si="3"/>
        <v>24</v>
      </c>
      <c r="H30" s="198" t="str">
        <f t="shared" si="3"/>
        <v>Other Contracts</v>
      </c>
      <c r="I30" s="247">
        <f t="shared" si="3"/>
        <v>0</v>
      </c>
      <c r="K30" s="159"/>
      <c r="L30" s="157"/>
      <c r="M30" s="157"/>
      <c r="N30" s="154"/>
      <c r="O30" s="155"/>
      <c r="P30" s="158"/>
      <c r="R30" s="50" t="str">
        <f>IF(V30='Request #44'!V30,"OK","Send in Change Order")</f>
        <v>OK</v>
      </c>
      <c r="S30" s="85">
        <v>19</v>
      </c>
      <c r="T30" s="86" t="s">
        <v>71</v>
      </c>
      <c r="U30" s="218">
        <f>'Request #44'!U30</f>
        <v>0</v>
      </c>
      <c r="V30" s="87">
        <f>'Request #44'!V30</f>
        <v>0</v>
      </c>
      <c r="W30" s="88">
        <f>SUMIF(F7:F79,19,E7:E79)</f>
        <v>0</v>
      </c>
      <c r="X30" s="88">
        <f>'Request #44'!Y30</f>
        <v>0</v>
      </c>
      <c r="Y30" s="88">
        <f t="shared" si="1"/>
        <v>0</v>
      </c>
      <c r="Z30" s="88">
        <f t="shared" si="2"/>
        <v>0</v>
      </c>
      <c r="AA30" s="88">
        <f>SUMIF(P7:P79,19,O7:O79)</f>
        <v>0</v>
      </c>
      <c r="AB30" s="50" t="str">
        <f>IF(W30&gt;='Request #44'!AA30,"OK","Alert,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197">
        <f t="shared" si="3"/>
        <v>25</v>
      </c>
      <c r="H31" s="198" t="str">
        <f t="shared" si="3"/>
        <v>Other Contracts</v>
      </c>
      <c r="I31" s="247">
        <f t="shared" si="3"/>
        <v>0</v>
      </c>
      <c r="K31" s="159"/>
      <c r="L31" s="157"/>
      <c r="M31" s="157"/>
      <c r="N31" s="154"/>
      <c r="O31" s="155"/>
      <c r="P31" s="158"/>
      <c r="R31" s="50" t="str">
        <f>IF(V31='Request #44'!V31,"OK","Send in Change Order")</f>
        <v>OK</v>
      </c>
      <c r="S31" s="85">
        <v>20</v>
      </c>
      <c r="T31" s="86" t="s">
        <v>71</v>
      </c>
      <c r="U31" s="218">
        <f>'Request #44'!U31</f>
        <v>0</v>
      </c>
      <c r="V31" s="87">
        <f>'Request #44'!V31</f>
        <v>0</v>
      </c>
      <c r="W31" s="88">
        <f>SUMIF(F7:F79,20,E7:E79)</f>
        <v>0</v>
      </c>
      <c r="X31" s="88">
        <f>'Request #44'!Y31</f>
        <v>0</v>
      </c>
      <c r="Y31" s="88">
        <f t="shared" si="1"/>
        <v>0</v>
      </c>
      <c r="Z31" s="88">
        <f t="shared" si="2"/>
        <v>0</v>
      </c>
      <c r="AA31" s="88">
        <f>SUMIF(P7:P79,20,O7:O79)</f>
        <v>0</v>
      </c>
      <c r="AB31" s="50" t="str">
        <f>IF(W31&gt;='Request #44'!AA31,"OK","Alert,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197">
        <f t="shared" si="3"/>
        <v>26</v>
      </c>
      <c r="H32" s="198" t="str">
        <f t="shared" si="3"/>
        <v>Other Fees</v>
      </c>
      <c r="I32" s="247">
        <f t="shared" si="3"/>
        <v>0</v>
      </c>
      <c r="K32" s="159"/>
      <c r="L32" s="157"/>
      <c r="M32" s="157"/>
      <c r="N32" s="154"/>
      <c r="O32" s="155"/>
      <c r="P32" s="158"/>
      <c r="R32" s="50" t="str">
        <f>IF(V32='Request #44'!V32,"OK","Send in Change Order")</f>
        <v>OK</v>
      </c>
      <c r="S32" s="85">
        <v>21</v>
      </c>
      <c r="T32" s="86" t="s">
        <v>71</v>
      </c>
      <c r="U32" s="218">
        <f>'Request #44'!U32</f>
        <v>0</v>
      </c>
      <c r="V32" s="87">
        <f>'Request #44'!V32</f>
        <v>0</v>
      </c>
      <c r="W32" s="88">
        <f>SUMIF(F7:F79,21,E7:E79)</f>
        <v>0</v>
      </c>
      <c r="X32" s="88">
        <f>'Request #44'!Y32</f>
        <v>0</v>
      </c>
      <c r="Y32" s="88">
        <f t="shared" si="1"/>
        <v>0</v>
      </c>
      <c r="Z32" s="88">
        <f t="shared" si="2"/>
        <v>0</v>
      </c>
      <c r="AA32" s="88">
        <f>SUMIF(P7:P79,21,O7:O79)</f>
        <v>0</v>
      </c>
      <c r="AB32" s="50" t="str">
        <f>IF(W32&gt;='Request #44'!AA32,"OK","Alert,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197">
        <f t="shared" si="3"/>
        <v>27</v>
      </c>
      <c r="H33" s="198" t="str">
        <f t="shared" si="3"/>
        <v>Other Fees</v>
      </c>
      <c r="I33" s="247">
        <f t="shared" si="3"/>
        <v>0</v>
      </c>
      <c r="K33" s="159"/>
      <c r="L33" s="157"/>
      <c r="M33" s="157"/>
      <c r="N33" s="154"/>
      <c r="O33" s="155"/>
      <c r="P33" s="158"/>
      <c r="R33" s="50" t="str">
        <f>IF(V33='Request #44'!V33,"OK","Send in Change Order")</f>
        <v>OK</v>
      </c>
      <c r="S33" s="85">
        <v>22</v>
      </c>
      <c r="T33" s="86" t="s">
        <v>71</v>
      </c>
      <c r="U33" s="218">
        <f>'Request #44'!U33</f>
        <v>0</v>
      </c>
      <c r="V33" s="87">
        <f>'Request #44'!V33</f>
        <v>0</v>
      </c>
      <c r="W33" s="88">
        <f>SUMIF(F7:F79,22,E7:E79)</f>
        <v>0</v>
      </c>
      <c r="X33" s="88">
        <f>'Request #44'!Y33</f>
        <v>0</v>
      </c>
      <c r="Y33" s="88">
        <f t="shared" si="1"/>
        <v>0</v>
      </c>
      <c r="Z33" s="88">
        <f t="shared" si="2"/>
        <v>0</v>
      </c>
      <c r="AA33" s="88">
        <f>SUMIF(P7:P79,22,O7:O79)</f>
        <v>0</v>
      </c>
      <c r="AB33" s="50" t="str">
        <f>IF(W33&gt;='Request #44'!AA33,"OK","Alert,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197">
        <f t="shared" si="3"/>
        <v>28</v>
      </c>
      <c r="H34" s="198" t="str">
        <f t="shared" si="3"/>
        <v>Other Fees</v>
      </c>
      <c r="I34" s="247">
        <f t="shared" si="3"/>
        <v>0</v>
      </c>
      <c r="K34" s="159"/>
      <c r="L34" s="157"/>
      <c r="M34" s="157"/>
      <c r="N34" s="154"/>
      <c r="O34" s="155"/>
      <c r="P34" s="158"/>
      <c r="R34" s="50" t="str">
        <f>IF(V34='Request #44'!V34,"OK","Send in Change Order")</f>
        <v>OK</v>
      </c>
      <c r="S34" s="85">
        <v>23</v>
      </c>
      <c r="T34" s="86" t="s">
        <v>71</v>
      </c>
      <c r="U34" s="218">
        <f>'Request #44'!U34</f>
        <v>0</v>
      </c>
      <c r="V34" s="87">
        <f>'Request #44'!V34</f>
        <v>0</v>
      </c>
      <c r="W34" s="88">
        <f>SUMIF(F7:F79,23,E7:E79)</f>
        <v>0</v>
      </c>
      <c r="X34" s="88">
        <f>'Request #44'!Y34</f>
        <v>0</v>
      </c>
      <c r="Y34" s="88">
        <f t="shared" si="1"/>
        <v>0</v>
      </c>
      <c r="Z34" s="88">
        <f t="shared" si="2"/>
        <v>0</v>
      </c>
      <c r="AA34" s="88">
        <f>SUMIF(P7:P79,23,O7:O79)</f>
        <v>0</v>
      </c>
      <c r="AB34" s="50" t="str">
        <f>IF(W34&gt;='Request #44'!AA34,"OK","Alert,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197">
        <f t="shared" si="3"/>
        <v>29</v>
      </c>
      <c r="H35" s="198" t="str">
        <f t="shared" si="3"/>
        <v>Other Fees</v>
      </c>
      <c r="I35" s="247">
        <f t="shared" si="3"/>
        <v>0</v>
      </c>
      <c r="K35" s="159"/>
      <c r="L35" s="157"/>
      <c r="M35" s="157"/>
      <c r="N35" s="154"/>
      <c r="O35" s="155"/>
      <c r="P35" s="158"/>
      <c r="R35" s="50" t="str">
        <f>IF(V36='Request #44'!V36,"OK","Send in Change Order")</f>
        <v>OK</v>
      </c>
      <c r="S35" s="85">
        <v>24</v>
      </c>
      <c r="T35" s="86" t="s">
        <v>71</v>
      </c>
      <c r="U35" s="218">
        <f>'Request #44'!U35</f>
        <v>0</v>
      </c>
      <c r="V35" s="87">
        <f>'Request #44'!V35</f>
        <v>0</v>
      </c>
      <c r="W35" s="88">
        <f>SUMIF(F7:F79,24,E7:E79)</f>
        <v>0</v>
      </c>
      <c r="X35" s="88">
        <f>'Request #44'!Y35</f>
        <v>0</v>
      </c>
      <c r="Y35" s="88">
        <f t="shared" si="1"/>
        <v>0</v>
      </c>
      <c r="Z35" s="88">
        <f t="shared" si="2"/>
        <v>0</v>
      </c>
      <c r="AA35" s="88">
        <f>SUMIF(P7:P79,24,O7:O79)</f>
        <v>0</v>
      </c>
      <c r="AB35" s="50" t="str">
        <f>IF(W36&gt;='Request #44'!AA36,"OK","Alert,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197">
        <f t="shared" si="3"/>
        <v>30</v>
      </c>
      <c r="H36" s="198" t="str">
        <f t="shared" si="3"/>
        <v>Other Fees</v>
      </c>
      <c r="I36" s="247">
        <f t="shared" si="3"/>
        <v>0</v>
      </c>
      <c r="K36" s="159"/>
      <c r="L36" s="157"/>
      <c r="M36" s="157"/>
      <c r="N36" s="154"/>
      <c r="O36" s="155"/>
      <c r="P36" s="158"/>
      <c r="R36" s="50" t="str">
        <f>IF(V36='Request #44'!V36,"OK","Send in Change Order")</f>
        <v>OK</v>
      </c>
      <c r="S36" s="85">
        <v>25</v>
      </c>
      <c r="T36" s="86" t="s">
        <v>71</v>
      </c>
      <c r="U36" s="218">
        <f>'Request #44'!U36</f>
        <v>0</v>
      </c>
      <c r="V36" s="87">
        <f>'Request #44'!V36</f>
        <v>0</v>
      </c>
      <c r="W36" s="88">
        <f>SUMIF(F7:F79,25,E7:E79)</f>
        <v>0</v>
      </c>
      <c r="X36" s="88">
        <f>'Request #44'!Y36</f>
        <v>0</v>
      </c>
      <c r="Y36" s="88">
        <f t="shared" si="1"/>
        <v>0</v>
      </c>
      <c r="Z36" s="88">
        <f t="shared" si="2"/>
        <v>0</v>
      </c>
      <c r="AA36" s="88">
        <f>SUMIF(P7:P79,25,O7:O79)</f>
        <v>0</v>
      </c>
      <c r="AB36" s="50" t="str">
        <f>IF(W36&gt;='Request #44'!AA36,"OK","Alert,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197">
        <f t="shared" si="3"/>
        <v>31</v>
      </c>
      <c r="H37" s="198" t="str">
        <f t="shared" si="3"/>
        <v>Other Fees</v>
      </c>
      <c r="I37" s="247">
        <f t="shared" si="3"/>
        <v>0</v>
      </c>
      <c r="K37" s="159"/>
      <c r="L37" s="157"/>
      <c r="M37" s="157"/>
      <c r="N37" s="154"/>
      <c r="O37" s="155"/>
      <c r="P37" s="158"/>
      <c r="R37" s="50" t="str">
        <f>IF(V37='Request #44'!V37,"OK","Send in Change Order")</f>
        <v>OK</v>
      </c>
      <c r="S37" s="85">
        <v>26</v>
      </c>
      <c r="T37" s="86" t="s">
        <v>82</v>
      </c>
      <c r="U37" s="218">
        <f>'Request #44'!U37</f>
        <v>0</v>
      </c>
      <c r="V37" s="87">
        <f>'Request #44'!V37</f>
        <v>0</v>
      </c>
      <c r="W37" s="88">
        <f>SUMIF(F7:F79,26,E7:E79)</f>
        <v>0</v>
      </c>
      <c r="X37" s="88">
        <f>'Request #44'!Y37</f>
        <v>0</v>
      </c>
      <c r="Y37" s="88">
        <f t="shared" si="1"/>
        <v>0</v>
      </c>
      <c r="Z37" s="88">
        <f t="shared" si="2"/>
        <v>0</v>
      </c>
      <c r="AA37" s="88">
        <f>SUMIF(P7:P79,26,O7:O79)</f>
        <v>0</v>
      </c>
      <c r="AB37" s="50" t="str">
        <f>IF(W37&gt;='Request #44'!AA37,"OK","Alert,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197">
        <f t="shared" si="3"/>
        <v>32</v>
      </c>
      <c r="H38" s="198" t="str">
        <f t="shared" si="3"/>
        <v>Other Fees</v>
      </c>
      <c r="I38" s="247">
        <f t="shared" si="3"/>
        <v>0</v>
      </c>
      <c r="K38" s="159"/>
      <c r="L38" s="157"/>
      <c r="M38" s="157"/>
      <c r="N38" s="154"/>
      <c r="O38" s="155"/>
      <c r="P38" s="158"/>
      <c r="R38" s="50" t="str">
        <f>IF(V38='Request #44'!V38,"OK","Send in Change Order")</f>
        <v>OK</v>
      </c>
      <c r="S38" s="85">
        <v>27</v>
      </c>
      <c r="T38" s="86" t="s">
        <v>82</v>
      </c>
      <c r="U38" s="218">
        <f>'Request #44'!U38</f>
        <v>0</v>
      </c>
      <c r="V38" s="87">
        <f>'Request #44'!V38</f>
        <v>0</v>
      </c>
      <c r="W38" s="88">
        <f>SUMIF(F7:F79,27,E7:E79)</f>
        <v>0</v>
      </c>
      <c r="X38" s="88">
        <f>'Request #44'!Y38</f>
        <v>0</v>
      </c>
      <c r="Y38" s="88">
        <f t="shared" si="1"/>
        <v>0</v>
      </c>
      <c r="Z38" s="88">
        <f t="shared" si="2"/>
        <v>0</v>
      </c>
      <c r="AA38" s="88">
        <f>SUMIF(P7:P79,27,O7:O79)</f>
        <v>0</v>
      </c>
      <c r="AB38" s="50" t="str">
        <f>IF(W38&gt;='Request #44'!AA38,"OK","Alert,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197">
        <f t="shared" si="3"/>
        <v>33</v>
      </c>
      <c r="H39" s="198" t="str">
        <f t="shared" si="3"/>
        <v>Other Fees</v>
      </c>
      <c r="I39" s="247">
        <f t="shared" si="3"/>
        <v>0</v>
      </c>
      <c r="K39" s="159"/>
      <c r="L39" s="157"/>
      <c r="M39" s="157"/>
      <c r="N39" s="154"/>
      <c r="O39" s="155"/>
      <c r="P39" s="158"/>
      <c r="R39" s="50" t="str">
        <f>IF(V39='Request #44'!V39,"OK","Send in Change Order")</f>
        <v>OK</v>
      </c>
      <c r="S39" s="85">
        <v>28</v>
      </c>
      <c r="T39" s="86" t="s">
        <v>82</v>
      </c>
      <c r="U39" s="218">
        <f>'Request #44'!U39</f>
        <v>0</v>
      </c>
      <c r="V39" s="87">
        <f>'Request #44'!V39</f>
        <v>0</v>
      </c>
      <c r="W39" s="88">
        <f>SUMIF(F7:F79,28,E7:E79)</f>
        <v>0</v>
      </c>
      <c r="X39" s="88">
        <f>'Request #44'!Y39</f>
        <v>0</v>
      </c>
      <c r="Y39" s="88">
        <f t="shared" si="1"/>
        <v>0</v>
      </c>
      <c r="Z39" s="88">
        <f t="shared" si="2"/>
        <v>0</v>
      </c>
      <c r="AA39" s="88">
        <f>SUMIF(P7:P79,28,O7:O79)</f>
        <v>0</v>
      </c>
      <c r="AB39" s="50" t="str">
        <f>IF(W39&gt;='Request #44'!AA39,"OK","Alert,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197">
        <f t="shared" ref="G40:I55" si="4">S45</f>
        <v>0</v>
      </c>
      <c r="H40" s="198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#44'!V40,"OK","Send in Change Order")</f>
        <v>OK</v>
      </c>
      <c r="S40" s="85">
        <v>29</v>
      </c>
      <c r="T40" s="86" t="s">
        <v>82</v>
      </c>
      <c r="U40" s="218">
        <f>'Request #44'!U40</f>
        <v>0</v>
      </c>
      <c r="V40" s="87">
        <f>'Request #44'!V40</f>
        <v>0</v>
      </c>
      <c r="W40" s="88">
        <f>SUMIF(F7:F79,29,E7:E79)</f>
        <v>0</v>
      </c>
      <c r="X40" s="88">
        <f>'Request #44'!Y40</f>
        <v>0</v>
      </c>
      <c r="Y40" s="88">
        <f t="shared" si="1"/>
        <v>0</v>
      </c>
      <c r="Z40" s="88">
        <f t="shared" si="2"/>
        <v>0</v>
      </c>
      <c r="AA40" s="88">
        <f>SUMIF(P7:P79,29,O7:O79)</f>
        <v>0</v>
      </c>
      <c r="AB40" s="50" t="str">
        <f>IF(W40&gt;='Request #44'!AA40,"OK","Alert,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197" t="str">
        <f t="shared" si="4"/>
        <v>Cost</v>
      </c>
      <c r="H41" s="198">
        <f t="shared" si="4"/>
        <v>0</v>
      </c>
      <c r="I41" s="247">
        <f t="shared" si="4"/>
        <v>0</v>
      </c>
      <c r="K41" s="159"/>
      <c r="L41" s="157"/>
      <c r="M41" s="157"/>
      <c r="N41" s="154"/>
      <c r="O41" s="155"/>
      <c r="P41" s="158"/>
      <c r="R41" s="50" t="str">
        <f>IF(V41='Request #44'!V41,"OK","Send in Change Order")</f>
        <v>OK</v>
      </c>
      <c r="S41" s="85">
        <v>30</v>
      </c>
      <c r="T41" s="86" t="s">
        <v>82</v>
      </c>
      <c r="U41" s="218">
        <f>'Request #44'!U41</f>
        <v>0</v>
      </c>
      <c r="V41" s="87">
        <f>'Request #44'!V41</f>
        <v>0</v>
      </c>
      <c r="W41" s="88">
        <f>SUMIF(F7:F79,30,E7:E79)</f>
        <v>0</v>
      </c>
      <c r="X41" s="88">
        <f>'Request #44'!Y41</f>
        <v>0</v>
      </c>
      <c r="Y41" s="88">
        <f t="shared" si="1"/>
        <v>0</v>
      </c>
      <c r="Z41" s="88">
        <f t="shared" si="2"/>
        <v>0</v>
      </c>
      <c r="AA41" s="88">
        <f>SUMIF(P7:P79,30,O7:O79)</f>
        <v>0</v>
      </c>
      <c r="AB41" s="50" t="str">
        <f>IF(W41&gt;='Request #44'!AA41,"OK","Alert,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197" t="str">
        <f t="shared" si="4"/>
        <v>Item</v>
      </c>
      <c r="H42" s="198" t="str">
        <f t="shared" si="4"/>
        <v>Account Name</v>
      </c>
      <c r="I42" s="247">
        <f t="shared" si="4"/>
        <v>0</v>
      </c>
      <c r="K42" s="159"/>
      <c r="L42" s="157"/>
      <c r="M42" s="157"/>
      <c r="N42" s="154"/>
      <c r="O42" s="155"/>
      <c r="P42" s="158"/>
      <c r="R42" s="50" t="str">
        <f>IF(V42='Request #44'!V42,"OK","Send in Change Order")</f>
        <v>OK</v>
      </c>
      <c r="S42" s="85">
        <v>31</v>
      </c>
      <c r="T42" s="86" t="s">
        <v>82</v>
      </c>
      <c r="U42" s="218">
        <f>'Request #44'!U42</f>
        <v>0</v>
      </c>
      <c r="V42" s="87">
        <f>'Request #44'!V42</f>
        <v>0</v>
      </c>
      <c r="W42" s="88">
        <f>SUMIF(F7:F79,31,E7:E79)</f>
        <v>0</v>
      </c>
      <c r="X42" s="88">
        <f>'Request #44'!Y42</f>
        <v>0</v>
      </c>
      <c r="Y42" s="88">
        <f t="shared" si="1"/>
        <v>0</v>
      </c>
      <c r="Z42" s="88">
        <f t="shared" si="2"/>
        <v>0</v>
      </c>
      <c r="AA42" s="88">
        <f>SUMIF(P7:P79,31,O7:O79)</f>
        <v>0</v>
      </c>
      <c r="AB42" s="50" t="str">
        <f>IF(W42&gt;='Request #44'!AA42,"OK","Alert,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197">
        <f t="shared" si="4"/>
        <v>0</v>
      </c>
      <c r="H43" s="198">
        <f t="shared" si="4"/>
        <v>0</v>
      </c>
      <c r="I43" s="247">
        <f t="shared" si="4"/>
        <v>0</v>
      </c>
      <c r="K43" s="159"/>
      <c r="L43" s="157"/>
      <c r="M43" s="157"/>
      <c r="N43" s="154"/>
      <c r="O43" s="155"/>
      <c r="P43" s="158"/>
      <c r="R43" s="50" t="str">
        <f>IF(V43='Request #44'!V43,"OK","Send in Change Order")</f>
        <v>OK</v>
      </c>
      <c r="S43" s="85">
        <v>32</v>
      </c>
      <c r="T43" s="86" t="s">
        <v>82</v>
      </c>
      <c r="U43" s="218">
        <f>'Request #44'!U43</f>
        <v>0</v>
      </c>
      <c r="V43" s="87">
        <f>'Request #44'!V43</f>
        <v>0</v>
      </c>
      <c r="W43" s="88">
        <f>SUMIF(F7:F79,32,E7:E79)</f>
        <v>0</v>
      </c>
      <c r="X43" s="88">
        <f>'Request #44'!Y43</f>
        <v>0</v>
      </c>
      <c r="Y43" s="88">
        <f t="shared" si="1"/>
        <v>0</v>
      </c>
      <c r="Z43" s="88">
        <f t="shared" si="2"/>
        <v>0</v>
      </c>
      <c r="AA43" s="88">
        <f>SUMIF(P7:P79,32,O7:O79)</f>
        <v>0</v>
      </c>
      <c r="AB43" s="50" t="str">
        <f>IF(W43&gt;='Request #44'!AA43,"OK","Alert,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197">
        <f t="shared" si="4"/>
        <v>38</v>
      </c>
      <c r="H44" s="198" t="str">
        <f t="shared" si="4"/>
        <v>Other Fees</v>
      </c>
      <c r="I44" s="247">
        <f t="shared" si="4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#44'!V44,"OK","Send in Change Order")</f>
        <v>OK</v>
      </c>
      <c r="S44" s="85">
        <v>33</v>
      </c>
      <c r="T44" s="86" t="s">
        <v>82</v>
      </c>
      <c r="U44" s="218">
        <f>'Request #44'!U44</f>
        <v>0</v>
      </c>
      <c r="V44" s="87">
        <f>'Request #44'!V44</f>
        <v>0</v>
      </c>
      <c r="W44" s="88">
        <f>SUMIF(F7:F79,33,E7:E79)</f>
        <v>0</v>
      </c>
      <c r="X44" s="88">
        <f>'Request #44'!Y44</f>
        <v>0</v>
      </c>
      <c r="Y44" s="88">
        <f t="shared" si="1"/>
        <v>0</v>
      </c>
      <c r="Z44" s="88">
        <f t="shared" si="2"/>
        <v>0</v>
      </c>
      <c r="AA44" s="88">
        <f>SUMIF(P7:P79,33,O7:O79)</f>
        <v>0</v>
      </c>
      <c r="AB44" s="50" t="str">
        <f>IF(W44&gt;='Request #44'!AA44,"OK","Alert,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4"/>
        <v>39</v>
      </c>
      <c r="H45" s="205" t="str">
        <f t="shared" si="4"/>
        <v>Other Fees</v>
      </c>
      <c r="I45" s="247">
        <f t="shared" si="4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4"/>
        <v>40</v>
      </c>
      <c r="H46" s="205" t="str">
        <f t="shared" si="4"/>
        <v>Other Fees</v>
      </c>
      <c r="I46" s="247">
        <f t="shared" si="4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197">
        <f t="shared" si="4"/>
        <v>41</v>
      </c>
      <c r="H47" s="198" t="str">
        <f t="shared" si="4"/>
        <v>Other Fees</v>
      </c>
      <c r="I47" s="247">
        <f t="shared" si="4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197">
        <f t="shared" si="4"/>
        <v>42</v>
      </c>
      <c r="H48" s="198" t="str">
        <f t="shared" si="4"/>
        <v>Other Fees</v>
      </c>
      <c r="I48" s="247">
        <f t="shared" si="4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197">
        <f t="shared" si="4"/>
        <v>43</v>
      </c>
      <c r="H49" s="198" t="str">
        <f t="shared" si="4"/>
        <v>Other Fees</v>
      </c>
      <c r="I49" s="247">
        <f t="shared" si="4"/>
        <v>0</v>
      </c>
      <c r="K49" s="159"/>
      <c r="L49" s="157"/>
      <c r="M49" s="157"/>
      <c r="N49" s="154"/>
      <c r="O49" s="155"/>
      <c r="P49" s="158"/>
      <c r="R49" s="50" t="str">
        <f>IF(V49='Request #44'!V49,"OK","Send in Change Order")</f>
        <v>OK</v>
      </c>
      <c r="S49" s="85">
        <v>38</v>
      </c>
      <c r="T49" s="86" t="s">
        <v>82</v>
      </c>
      <c r="U49" s="218">
        <f>'Request #44'!U49</f>
        <v>0</v>
      </c>
      <c r="V49" s="87">
        <f>'Request #44'!V49</f>
        <v>0</v>
      </c>
      <c r="W49" s="88">
        <f>SUMIF(F7:F79,38,E7:E79)</f>
        <v>0</v>
      </c>
      <c r="X49" s="88">
        <f>'Request #44'!Y49</f>
        <v>0</v>
      </c>
      <c r="Y49" s="88">
        <f t="shared" si="1"/>
        <v>0</v>
      </c>
      <c r="Z49" s="88">
        <f t="shared" si="2"/>
        <v>0</v>
      </c>
      <c r="AA49" s="88">
        <f>SUMIF(P7:P79,38,O7:O79)</f>
        <v>0</v>
      </c>
      <c r="AB49" s="50" t="str">
        <f>IF(W49&gt;='Request #44'!AA49,"OK","Alert,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197">
        <f t="shared" si="4"/>
        <v>44</v>
      </c>
      <c r="H50" s="198" t="str">
        <f t="shared" si="4"/>
        <v>Other Fees</v>
      </c>
      <c r="I50" s="247">
        <f t="shared" si="4"/>
        <v>0</v>
      </c>
      <c r="K50" s="159"/>
      <c r="L50" s="157"/>
      <c r="M50" s="157"/>
      <c r="N50" s="154"/>
      <c r="O50" s="155"/>
      <c r="P50" s="158"/>
      <c r="R50" s="50" t="str">
        <f>IF(V50='Request #44'!V50,"OK","Send in Change Order")</f>
        <v>OK</v>
      </c>
      <c r="S50" s="85">
        <v>39</v>
      </c>
      <c r="T50" s="86" t="s">
        <v>82</v>
      </c>
      <c r="U50" s="218">
        <f>'Request #44'!U50</f>
        <v>0</v>
      </c>
      <c r="V50" s="87">
        <f>'Request #44'!V50</f>
        <v>0</v>
      </c>
      <c r="W50" s="88">
        <f>SUMIF(F7:F79,39,E7:E79)</f>
        <v>0</v>
      </c>
      <c r="X50" s="88">
        <f>'Request #44'!Y50</f>
        <v>0</v>
      </c>
      <c r="Y50" s="88">
        <f t="shared" si="1"/>
        <v>0</v>
      </c>
      <c r="Z50" s="88">
        <f t="shared" si="2"/>
        <v>0</v>
      </c>
      <c r="AA50" s="88">
        <f>SUMIF(P7:P79,39,O7:O79)</f>
        <v>0</v>
      </c>
      <c r="AB50" s="50" t="str">
        <f>IF(W50&gt;='Request #44'!AA50,"OK","Alert,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197">
        <f t="shared" si="4"/>
        <v>45</v>
      </c>
      <c r="H51" s="198" t="str">
        <f t="shared" si="4"/>
        <v>Other Fees</v>
      </c>
      <c r="I51" s="247">
        <f t="shared" si="4"/>
        <v>0</v>
      </c>
      <c r="K51" s="159"/>
      <c r="L51" s="157"/>
      <c r="M51" s="157"/>
      <c r="N51" s="154"/>
      <c r="O51" s="155"/>
      <c r="P51" s="158"/>
      <c r="R51" s="50" t="str">
        <f>IF(V51='Request #44'!V51,"OK","Send in Change Order")</f>
        <v>OK</v>
      </c>
      <c r="S51" s="85">
        <v>40</v>
      </c>
      <c r="T51" s="86" t="s">
        <v>82</v>
      </c>
      <c r="U51" s="218">
        <f>'Request #44'!U51</f>
        <v>0</v>
      </c>
      <c r="V51" s="87">
        <f>'Request #44'!V51</f>
        <v>0</v>
      </c>
      <c r="W51" s="88">
        <f>SUMIF(F7:F79,40,E7:E79)</f>
        <v>0</v>
      </c>
      <c r="X51" s="88">
        <f>'Request #44'!Y51</f>
        <v>0</v>
      </c>
      <c r="Y51" s="88">
        <f t="shared" si="1"/>
        <v>0</v>
      </c>
      <c r="Z51" s="88">
        <f t="shared" si="2"/>
        <v>0</v>
      </c>
      <c r="AA51" s="88">
        <f>SUMIF(P7:P79,40,O7:O79)</f>
        <v>0</v>
      </c>
      <c r="AB51" s="50" t="str">
        <f>IF(W51&gt;='Request #44'!AA51,"OK","Alert,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197">
        <f t="shared" si="4"/>
        <v>46</v>
      </c>
      <c r="H52" s="198" t="str">
        <f t="shared" si="4"/>
        <v>Other Fees</v>
      </c>
      <c r="I52" s="247">
        <f t="shared" si="4"/>
        <v>0</v>
      </c>
      <c r="K52" s="159"/>
      <c r="L52" s="157"/>
      <c r="M52" s="157"/>
      <c r="N52" s="154"/>
      <c r="O52" s="155"/>
      <c r="P52" s="158"/>
      <c r="R52" s="50" t="str">
        <f>IF(V52='Request #44'!V52,"OK","Send in Change Order")</f>
        <v>OK</v>
      </c>
      <c r="S52" s="85">
        <v>41</v>
      </c>
      <c r="T52" s="86" t="s">
        <v>82</v>
      </c>
      <c r="U52" s="218">
        <f>'Request #44'!U52</f>
        <v>0</v>
      </c>
      <c r="V52" s="87">
        <f>'Request #44'!V52</f>
        <v>0</v>
      </c>
      <c r="W52" s="88">
        <f>SUMIF(F7:F79,41,E7:E79)</f>
        <v>0</v>
      </c>
      <c r="X52" s="88">
        <f>'Request #44'!Y52</f>
        <v>0</v>
      </c>
      <c r="Y52" s="88">
        <f t="shared" si="1"/>
        <v>0</v>
      </c>
      <c r="Z52" s="88">
        <f t="shared" si="2"/>
        <v>0</v>
      </c>
      <c r="AA52" s="88">
        <f>SUMIF(P7:P79,41,O7:O79)</f>
        <v>0</v>
      </c>
      <c r="AB52" s="50" t="str">
        <f>IF(W52&gt;='Request #44'!AA52,"OK","Alert,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197">
        <f t="shared" si="4"/>
        <v>47</v>
      </c>
      <c r="H53" s="198" t="str">
        <f t="shared" si="4"/>
        <v>Other Fees</v>
      </c>
      <c r="I53" s="247">
        <f t="shared" si="4"/>
        <v>0</v>
      </c>
      <c r="K53" s="159"/>
      <c r="L53" s="157"/>
      <c r="M53" s="157"/>
      <c r="N53" s="154"/>
      <c r="O53" s="155"/>
      <c r="P53" s="158"/>
      <c r="R53" s="50" t="str">
        <f>IF(V53='Request #44'!V53,"OK","Send in Change Order")</f>
        <v>OK</v>
      </c>
      <c r="S53" s="85">
        <v>42</v>
      </c>
      <c r="T53" s="86" t="s">
        <v>82</v>
      </c>
      <c r="U53" s="218">
        <f>'Request #44'!U53</f>
        <v>0</v>
      </c>
      <c r="V53" s="87">
        <f>'Request #44'!V53</f>
        <v>0</v>
      </c>
      <c r="W53" s="88">
        <f>SUMIF(F7:F79,42,E7:E79)</f>
        <v>0</v>
      </c>
      <c r="X53" s="88">
        <f>'Request #44'!Y53</f>
        <v>0</v>
      </c>
      <c r="Y53" s="88">
        <f t="shared" si="1"/>
        <v>0</v>
      </c>
      <c r="Z53" s="88">
        <f t="shared" si="2"/>
        <v>0</v>
      </c>
      <c r="AA53" s="88">
        <f>SUMIF(P7:P79,42,O7:O79)</f>
        <v>0</v>
      </c>
      <c r="AB53" s="50" t="str">
        <f>IF(W53&gt;='Request #44'!AA53,"OK","Alert,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197">
        <f t="shared" si="4"/>
        <v>48</v>
      </c>
      <c r="H54" s="198" t="str">
        <f t="shared" si="4"/>
        <v>Other Fees</v>
      </c>
      <c r="I54" s="247">
        <f t="shared" si="4"/>
        <v>0</v>
      </c>
      <c r="K54" s="159"/>
      <c r="L54" s="157"/>
      <c r="M54" s="157"/>
      <c r="N54" s="154"/>
      <c r="O54" s="155"/>
      <c r="P54" s="158"/>
      <c r="R54" s="50" t="str">
        <f>IF(V54='Request #44'!V54,"OK","Send in Change Order")</f>
        <v>OK</v>
      </c>
      <c r="S54" s="85">
        <v>43</v>
      </c>
      <c r="T54" s="86" t="s">
        <v>82</v>
      </c>
      <c r="U54" s="218">
        <f>'Request #44'!U54</f>
        <v>0</v>
      </c>
      <c r="V54" s="87">
        <f>'Request #44'!V54</f>
        <v>0</v>
      </c>
      <c r="W54" s="88">
        <f>SUMIF(F7:F79,43,E7:E79)</f>
        <v>0</v>
      </c>
      <c r="X54" s="88">
        <f>'Request #44'!Y54</f>
        <v>0</v>
      </c>
      <c r="Y54" s="88">
        <f t="shared" si="1"/>
        <v>0</v>
      </c>
      <c r="Z54" s="88">
        <f t="shared" si="2"/>
        <v>0</v>
      </c>
      <c r="AA54" s="88">
        <f>SUMIF(P7:P79,43,O7:O79)</f>
        <v>0</v>
      </c>
      <c r="AB54" s="50" t="str">
        <f>IF(W54&gt;='Request #44'!AA54,"OK","Alert,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197">
        <f t="shared" si="4"/>
        <v>49</v>
      </c>
      <c r="H55" s="198" t="str">
        <f t="shared" si="4"/>
        <v>Other Fees</v>
      </c>
      <c r="I55" s="247">
        <f t="shared" si="4"/>
        <v>0</v>
      </c>
      <c r="K55" s="159"/>
      <c r="L55" s="157"/>
      <c r="M55" s="157"/>
      <c r="N55" s="154"/>
      <c r="O55" s="155"/>
      <c r="P55" s="158"/>
      <c r="R55" s="50" t="str">
        <f>IF(V55='Request #44'!V55,"OK","Send in Change Order")</f>
        <v>OK</v>
      </c>
      <c r="S55" s="85">
        <v>44</v>
      </c>
      <c r="T55" s="86" t="s">
        <v>82</v>
      </c>
      <c r="U55" s="218">
        <f>'Request #44'!U55</f>
        <v>0</v>
      </c>
      <c r="V55" s="87">
        <f>'Request #44'!V55</f>
        <v>0</v>
      </c>
      <c r="W55" s="88">
        <f>SUMIF(F7:F79,44,E7:E79)</f>
        <v>0</v>
      </c>
      <c r="X55" s="88">
        <f>'Request #44'!Y55</f>
        <v>0</v>
      </c>
      <c r="Y55" s="88">
        <f t="shared" si="1"/>
        <v>0</v>
      </c>
      <c r="Z55" s="88">
        <f t="shared" si="2"/>
        <v>0</v>
      </c>
      <c r="AA55" s="88">
        <f>SUMIF(P7:P79,44,O7:O79)</f>
        <v>0</v>
      </c>
      <c r="AB55" s="50" t="str">
        <f>IF(W55&gt;='Request #44'!AA55,"OK","Alert,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197">
        <f t="shared" ref="G56:I62" si="5">S61</f>
        <v>50</v>
      </c>
      <c r="H56" s="198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#44'!V56,"OK","Send in Change Order")</f>
        <v>OK</v>
      </c>
      <c r="S56" s="85">
        <v>45</v>
      </c>
      <c r="T56" s="86" t="s">
        <v>82</v>
      </c>
      <c r="U56" s="218">
        <f>'Request #44'!U56</f>
        <v>0</v>
      </c>
      <c r="V56" s="87">
        <f>'Request #44'!V56</f>
        <v>0</v>
      </c>
      <c r="W56" s="88">
        <f>SUMIF(F7:F79,45,E7:E79)</f>
        <v>0</v>
      </c>
      <c r="X56" s="88">
        <f>'Request #44'!Y56</f>
        <v>0</v>
      </c>
      <c r="Y56" s="88">
        <f t="shared" si="1"/>
        <v>0</v>
      </c>
      <c r="Z56" s="88">
        <f t="shared" si="2"/>
        <v>0</v>
      </c>
      <c r="AA56" s="88">
        <f>SUMIF(P7:P79,45,O7:O79)</f>
        <v>0</v>
      </c>
      <c r="AB56" s="50" t="str">
        <f>IF(W56&gt;='Request #44'!AA56,"OK","Alert,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197">
        <f t="shared" si="5"/>
        <v>51</v>
      </c>
      <c r="H57" s="198" t="str">
        <f t="shared" si="5"/>
        <v>Other Fees</v>
      </c>
      <c r="I57" s="247">
        <f t="shared" si="5"/>
        <v>0</v>
      </c>
      <c r="K57" s="159"/>
      <c r="L57" s="157"/>
      <c r="M57" s="157"/>
      <c r="N57" s="154"/>
      <c r="O57" s="155"/>
      <c r="P57" s="158"/>
      <c r="R57" s="50" t="str">
        <f>IF(V57='Request #44'!V57,"OK","Send in Change Order")</f>
        <v>OK</v>
      </c>
      <c r="S57" s="85">
        <v>46</v>
      </c>
      <c r="T57" s="86" t="s">
        <v>82</v>
      </c>
      <c r="U57" s="218">
        <f>'Request #44'!U57</f>
        <v>0</v>
      </c>
      <c r="V57" s="87">
        <f>'Request #44'!V57</f>
        <v>0</v>
      </c>
      <c r="W57" s="88">
        <f>SUMIF(F7:F79,46,E7:E79)</f>
        <v>0</v>
      </c>
      <c r="X57" s="88">
        <f>'Request #44'!Y57</f>
        <v>0</v>
      </c>
      <c r="Y57" s="88">
        <f t="shared" si="1"/>
        <v>0</v>
      </c>
      <c r="Z57" s="88">
        <f t="shared" si="2"/>
        <v>0</v>
      </c>
      <c r="AA57" s="88">
        <f>SUMIF(P7:P79,46,O7:O79)</f>
        <v>0</v>
      </c>
      <c r="AB57" s="50" t="str">
        <f>IF(W57&gt;='Request #44'!AA57,"OK","Alert,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197">
        <f t="shared" si="5"/>
        <v>52</v>
      </c>
      <c r="H58" s="198" t="str">
        <f t="shared" si="5"/>
        <v>Worked Performed by Owner</v>
      </c>
      <c r="I58" s="247">
        <f t="shared" si="5"/>
        <v>0</v>
      </c>
      <c r="K58" s="159"/>
      <c r="L58" s="157"/>
      <c r="M58" s="157"/>
      <c r="N58" s="154"/>
      <c r="O58" s="155"/>
      <c r="P58" s="158"/>
      <c r="R58" s="50" t="str">
        <f>IF(V58='Request #44'!V58,"OK","Send in Change Order")</f>
        <v>OK</v>
      </c>
      <c r="S58" s="85">
        <v>47</v>
      </c>
      <c r="T58" s="86" t="s">
        <v>82</v>
      </c>
      <c r="U58" s="218">
        <f>'Request #44'!U58</f>
        <v>0</v>
      </c>
      <c r="V58" s="87">
        <f>'Request #44'!V58</f>
        <v>0</v>
      </c>
      <c r="W58" s="88">
        <f>SUMIF(F7:F79,47,E7:E79)</f>
        <v>0</v>
      </c>
      <c r="X58" s="88">
        <f>'Request #44'!Y58</f>
        <v>0</v>
      </c>
      <c r="Y58" s="88">
        <f t="shared" si="1"/>
        <v>0</v>
      </c>
      <c r="Z58" s="88">
        <f t="shared" si="2"/>
        <v>0</v>
      </c>
      <c r="AA58" s="88">
        <f>SUMIF(P7:P79,47,O7:O79)</f>
        <v>0</v>
      </c>
      <c r="AB58" s="50" t="str">
        <f>IF(W58&gt;='Request #44'!AA58,"OK","Alert,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197">
        <f t="shared" si="5"/>
        <v>53</v>
      </c>
      <c r="H59" s="198" t="str">
        <f t="shared" si="5"/>
        <v>Equipment (Major)</v>
      </c>
      <c r="I59" s="247">
        <f t="shared" si="5"/>
        <v>0</v>
      </c>
      <c r="K59" s="159"/>
      <c r="L59" s="157"/>
      <c r="M59" s="157"/>
      <c r="N59" s="154"/>
      <c r="O59" s="155"/>
      <c r="P59" s="158"/>
      <c r="R59" s="50" t="str">
        <f>IF(V59='Request #44'!V59,"OK","Send in Change Order")</f>
        <v>OK</v>
      </c>
      <c r="S59" s="85">
        <v>48</v>
      </c>
      <c r="T59" s="86" t="s">
        <v>82</v>
      </c>
      <c r="U59" s="218">
        <f>'Request #44'!U59</f>
        <v>0</v>
      </c>
      <c r="V59" s="87">
        <f>'Request #44'!V59</f>
        <v>0</v>
      </c>
      <c r="W59" s="88">
        <f>SUMIF(F7:F79,48,E7:E79)</f>
        <v>0</v>
      </c>
      <c r="X59" s="88">
        <f>'Request #44'!Y59</f>
        <v>0</v>
      </c>
      <c r="Y59" s="88">
        <f t="shared" si="1"/>
        <v>0</v>
      </c>
      <c r="Z59" s="88">
        <f t="shared" si="2"/>
        <v>0</v>
      </c>
      <c r="AA59" s="88">
        <f>SUMIF(P7:P79,48,O7:O79)</f>
        <v>0</v>
      </c>
      <c r="AB59" s="50" t="str">
        <f>IF(W59&gt;='Request #44'!AA59,"OK","Alert,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197">
        <f t="shared" si="5"/>
        <v>54</v>
      </c>
      <c r="H60" s="198" t="str">
        <f t="shared" si="5"/>
        <v>Contingency Fund</v>
      </c>
      <c r="I60" s="247">
        <f t="shared" si="5"/>
        <v>0</v>
      </c>
      <c r="K60" s="159"/>
      <c r="L60" s="157"/>
      <c r="M60" s="157"/>
      <c r="N60" s="154"/>
      <c r="O60" s="155"/>
      <c r="P60" s="158"/>
      <c r="R60" s="50" t="str">
        <f>IF(V60='Request #44'!V60,"OK","Send in Change Order")</f>
        <v>OK</v>
      </c>
      <c r="S60" s="85">
        <v>49</v>
      </c>
      <c r="T60" s="86" t="s">
        <v>82</v>
      </c>
      <c r="U60" s="218">
        <f>'Request #44'!U60</f>
        <v>0</v>
      </c>
      <c r="V60" s="87">
        <f>'Request #44'!V60</f>
        <v>0</v>
      </c>
      <c r="W60" s="88">
        <f>SUMIF(F7:F79,49,E7:E79)</f>
        <v>0</v>
      </c>
      <c r="X60" s="88">
        <f>'Request #44'!Y60</f>
        <v>0</v>
      </c>
      <c r="Y60" s="88">
        <f t="shared" si="1"/>
        <v>0</v>
      </c>
      <c r="Z60" s="88">
        <f t="shared" si="2"/>
        <v>0</v>
      </c>
      <c r="AA60" s="88">
        <f>SUMIF(P7:P79,49,O7:O79)</f>
        <v>0</v>
      </c>
      <c r="AB60" s="50" t="str">
        <f>IF(W60&gt;='Request #44'!AA60,"OK","Alert,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197">
        <f t="shared" si="5"/>
        <v>55</v>
      </c>
      <c r="H61" s="198">
        <f t="shared" si="5"/>
        <v>0</v>
      </c>
      <c r="I61" s="247">
        <f t="shared" si="5"/>
        <v>0</v>
      </c>
      <c r="K61" s="159"/>
      <c r="L61" s="157"/>
      <c r="M61" s="157"/>
      <c r="N61" s="154"/>
      <c r="O61" s="155"/>
      <c r="P61" s="158"/>
      <c r="R61" s="50" t="str">
        <f>IF(V61='Request #44'!V61,"OK","Send in Change Order")</f>
        <v>OK</v>
      </c>
      <c r="S61" s="85">
        <v>50</v>
      </c>
      <c r="T61" s="86" t="s">
        <v>82</v>
      </c>
      <c r="U61" s="218">
        <f>'Request #44'!U61</f>
        <v>0</v>
      </c>
      <c r="V61" s="87">
        <f>'Request #44'!V61</f>
        <v>0</v>
      </c>
      <c r="W61" s="88">
        <f>SUMIF(F7:F79,50,E7:E79)</f>
        <v>0</v>
      </c>
      <c r="X61" s="88">
        <f>'Request #44'!Y61</f>
        <v>0</v>
      </c>
      <c r="Y61" s="88">
        <f t="shared" si="1"/>
        <v>0</v>
      </c>
      <c r="Z61" s="88">
        <f t="shared" si="2"/>
        <v>0</v>
      </c>
      <c r="AA61" s="88">
        <f>SUMIF(P7:P79,50,O7:O79)</f>
        <v>0</v>
      </c>
      <c r="AB61" s="50" t="str">
        <f>IF(W61&gt;='Request #44'!AA61,"OK","Alert,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197">
        <f t="shared" si="5"/>
        <v>56</v>
      </c>
      <c r="H62" s="198">
        <f t="shared" si="5"/>
        <v>0</v>
      </c>
      <c r="I62" s="247">
        <f t="shared" si="5"/>
        <v>0</v>
      </c>
      <c r="K62" s="159"/>
      <c r="L62" s="157"/>
      <c r="M62" s="157"/>
      <c r="N62" s="154"/>
      <c r="O62" s="155"/>
      <c r="P62" s="158"/>
      <c r="R62" s="50" t="str">
        <f>IF(V62='Request #44'!V62,"OK","Send in Change Order")</f>
        <v>OK</v>
      </c>
      <c r="S62" s="85">
        <v>51</v>
      </c>
      <c r="T62" s="86" t="s">
        <v>82</v>
      </c>
      <c r="U62" s="218">
        <f>'Request #44'!U62</f>
        <v>0</v>
      </c>
      <c r="V62" s="87">
        <f>'Request #44'!V62</f>
        <v>0</v>
      </c>
      <c r="W62" s="88">
        <f>SUMIF(F7:F79,51,E7:E79)</f>
        <v>0</v>
      </c>
      <c r="X62" s="88">
        <f>'Request #44'!Y62</f>
        <v>0</v>
      </c>
      <c r="Y62" s="88">
        <f t="shared" si="1"/>
        <v>0</v>
      </c>
      <c r="Z62" s="88">
        <f t="shared" si="2"/>
        <v>0</v>
      </c>
      <c r="AA62" s="88">
        <f>SUMIF(P7:P79,51,O7:O79)</f>
        <v>0</v>
      </c>
      <c r="AB62" s="50" t="str">
        <f>IF(W62&gt;='Request #44'!AA62,"OK","Alert,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#44'!V63,"OK","Send in Change Order")</f>
        <v>OK</v>
      </c>
      <c r="S63" s="85">
        <v>52</v>
      </c>
      <c r="T63" s="86" t="s">
        <v>88</v>
      </c>
      <c r="U63" s="218">
        <f>'Request #44'!U63</f>
        <v>0</v>
      </c>
      <c r="V63" s="87">
        <f>'Request #44'!V63</f>
        <v>0</v>
      </c>
      <c r="W63" s="88">
        <f>SUMIF(F7:F79,52,E7:E79)</f>
        <v>0</v>
      </c>
      <c r="X63" s="88">
        <f>'Request #44'!Y63</f>
        <v>0</v>
      </c>
      <c r="Y63" s="88">
        <f t="shared" si="1"/>
        <v>0</v>
      </c>
      <c r="Z63" s="88">
        <f t="shared" si="2"/>
        <v>0</v>
      </c>
      <c r="AA63" s="88">
        <f>SUMIF(P7:P79,52,O7:O79)</f>
        <v>0</v>
      </c>
      <c r="AB63" s="50" t="str">
        <f>IF(W63&gt;='Request #44'!AA63,"OK","Alert,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#44'!V64,"OK","Send in Change Order")</f>
        <v>OK</v>
      </c>
      <c r="S64" s="85">
        <v>53</v>
      </c>
      <c r="T64" s="86" t="s">
        <v>89</v>
      </c>
      <c r="U64" s="218">
        <f>'Request #44'!U64</f>
        <v>0</v>
      </c>
      <c r="V64" s="87">
        <f>'Request #44'!V64</f>
        <v>0</v>
      </c>
      <c r="W64" s="88">
        <f>SUMIF(F7:F79,53,E7:E79)</f>
        <v>0</v>
      </c>
      <c r="X64" s="88">
        <f>'Request #44'!Y64</f>
        <v>0</v>
      </c>
      <c r="Y64" s="88">
        <f t="shared" si="1"/>
        <v>0</v>
      </c>
      <c r="Z64" s="88">
        <f t="shared" si="2"/>
        <v>0</v>
      </c>
      <c r="AA64" s="88">
        <f>SUMIF(P7:P79,53,O7:O79)</f>
        <v>0</v>
      </c>
      <c r="AB64" s="50" t="str">
        <f>IF(W64&gt;='Request #44'!AA64,"OK","Alert,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#44'!V65,"OK","Send in Change Order")</f>
        <v>OK</v>
      </c>
      <c r="S65" s="85">
        <v>54</v>
      </c>
      <c r="T65" s="102" t="s">
        <v>90</v>
      </c>
      <c r="U65" s="218">
        <f>'Request #44'!U65</f>
        <v>0</v>
      </c>
      <c r="V65" s="87">
        <f>'Request #44'!V65</f>
        <v>0</v>
      </c>
      <c r="W65" s="104"/>
      <c r="X65" s="88">
        <f>'Request #44'!Y65</f>
        <v>0</v>
      </c>
      <c r="Y65" s="88">
        <f t="shared" si="1"/>
        <v>0</v>
      </c>
      <c r="Z65" s="88">
        <f t="shared" si="2"/>
        <v>0</v>
      </c>
      <c r="AA65" s="104"/>
      <c r="AB65" s="50" t="str">
        <f>IF(W65&gt;='Request #44'!AA65,"OK","Alert,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#44'!V66,"OK","Send in Change Order")</f>
        <v>OK</v>
      </c>
      <c r="S66" s="85">
        <v>55</v>
      </c>
      <c r="T66" s="86"/>
      <c r="U66" s="218">
        <f>'Request #44'!U66</f>
        <v>0</v>
      </c>
      <c r="V66" s="87">
        <f>'Request #44'!V66</f>
        <v>0</v>
      </c>
      <c r="W66" s="88">
        <f>SUMIF(F7:F79,55,E7:E79)</f>
        <v>0</v>
      </c>
      <c r="X66" s="88">
        <f>'Request #44'!Y66</f>
        <v>0</v>
      </c>
      <c r="Y66" s="88">
        <f t="shared" si="1"/>
        <v>0</v>
      </c>
      <c r="Z66" s="88">
        <f t="shared" si="2"/>
        <v>0</v>
      </c>
      <c r="AA66" s="88">
        <f>SUMIF(P7:P79,55,O7:O79)</f>
        <v>0</v>
      </c>
      <c r="AB66" s="50" t="str">
        <f>IF(W66&gt;='Request #44'!AA66,"OK","Alert,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#44'!V67,"OK","Send in Change Order")</f>
        <v>OK</v>
      </c>
      <c r="S67" s="85">
        <v>56</v>
      </c>
      <c r="T67" s="79"/>
      <c r="U67" s="218">
        <f>'Request #44'!U67</f>
        <v>0</v>
      </c>
      <c r="V67" s="87">
        <f>'Request #44'!V67</f>
        <v>0</v>
      </c>
      <c r="W67" s="88">
        <f>SUMIF(F7:F79,56,E7:E79)</f>
        <v>0</v>
      </c>
      <c r="X67" s="88">
        <f>'Request #44'!Y67</f>
        <v>0</v>
      </c>
      <c r="Y67" s="88">
        <f t="shared" si="1"/>
        <v>0</v>
      </c>
      <c r="Z67" s="88">
        <f t="shared" si="2"/>
        <v>0</v>
      </c>
      <c r="AA67" s="88">
        <f>SUMIF(P7:P79,56,O7:O79)</f>
        <v>0</v>
      </c>
      <c r="AB67" s="50" t="str">
        <f>IF(W67&gt;='Request #44'!AA67,"OK","Alert,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#44'!V68,"OK","Send in Change Order")</f>
        <v>OK</v>
      </c>
      <c r="S68" s="316" t="s">
        <v>60</v>
      </c>
      <c r="T68" s="317"/>
      <c r="U68" s="166" t="s">
        <v>91</v>
      </c>
      <c r="V68" s="263">
        <f t="shared" ref="V68:AA68" si="6">SUM(V12:V67)</f>
        <v>0</v>
      </c>
      <c r="W68" s="105">
        <f t="shared" si="6"/>
        <v>0</v>
      </c>
      <c r="X68" s="105">
        <f t="shared" si="6"/>
        <v>0</v>
      </c>
      <c r="Y68" s="105">
        <f t="shared" si="6"/>
        <v>0</v>
      </c>
      <c r="Z68" s="105">
        <f t="shared" si="6"/>
        <v>0</v>
      </c>
      <c r="AA68" s="105">
        <f t="shared" si="6"/>
        <v>0</v>
      </c>
      <c r="AB68" s="50" t="str">
        <f>IF(W68&gt;='Request #44'!AA68,"OK","Alert,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108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167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190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119" t="e">
        <f>V72/V68</f>
        <v>#DIV/0!</v>
      </c>
      <c r="V72" s="88">
        <f>V68-V74-V73</f>
        <v>0</v>
      </c>
      <c r="W72" s="87">
        <v>0</v>
      </c>
      <c r="X72" s="88">
        <f>'Request #44'!Y72</f>
        <v>0</v>
      </c>
      <c r="Y72" s="88">
        <f t="shared" ref="Y72:Y73" si="7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S73" s="86" t="s">
        <v>95</v>
      </c>
      <c r="T73" s="114"/>
      <c r="U73" s="119" t="e">
        <f>V73/V68</f>
        <v>#DIV/0!</v>
      </c>
      <c r="V73" s="87">
        <f>'Request #44'!V73</f>
        <v>0</v>
      </c>
      <c r="W73" s="87">
        <v>0</v>
      </c>
      <c r="X73" s="88">
        <f>'Request #44'!Y73</f>
        <v>0</v>
      </c>
      <c r="Y73" s="88">
        <f t="shared" si="7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S74" s="120" t="s">
        <v>96</v>
      </c>
      <c r="T74" s="121"/>
      <c r="U74" s="119" t="e">
        <f>V74/V68</f>
        <v>#DIV/0!</v>
      </c>
      <c r="V74" s="87">
        <f>'Request #44'!V74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55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1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114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114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136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55"/>
      <c r="V80" s="55"/>
      <c r="W80" s="55"/>
      <c r="X80" s="138"/>
      <c r="Y80" s="45" t="s">
        <v>108</v>
      </c>
      <c r="Z80" s="43"/>
      <c r="AA80" s="88">
        <f>'Request #44'!AA79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45</v>
      </c>
      <c r="V87" s="55"/>
      <c r="W87" s="55"/>
      <c r="X87" s="138"/>
      <c r="Y87" s="45" t="s">
        <v>108</v>
      </c>
      <c r="Z87" s="43"/>
      <c r="AA87" s="88">
        <f>'Request #44'!AA86</f>
        <v>0</v>
      </c>
      <c r="AB87" s="110"/>
    </row>
    <row r="88" spans="1:28" ht="30" customHeight="1" thickBot="1" x14ac:dyDescent="0.35">
      <c r="S88" s="55"/>
      <c r="T88" s="55"/>
      <c r="U88" s="55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55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55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55"/>
      <c r="V91" s="55"/>
      <c r="W91" s="55"/>
      <c r="X91" s="55"/>
    </row>
    <row r="92" spans="1:28" ht="30" customHeight="1" x14ac:dyDescent="0.3">
      <c r="S92" s="55"/>
      <c r="T92" s="55"/>
      <c r="U92" s="55"/>
      <c r="V92" s="55"/>
      <c r="W92" s="55"/>
      <c r="X92" s="55"/>
    </row>
    <row r="93" spans="1:28" ht="30" customHeight="1" x14ac:dyDescent="0.3">
      <c r="S93" s="55"/>
      <c r="T93" s="55"/>
      <c r="U93" s="55"/>
      <c r="V93" s="55"/>
      <c r="W93" s="55"/>
      <c r="X93" s="55"/>
    </row>
    <row r="94" spans="1:28" ht="30" customHeight="1" x14ac:dyDescent="0.3">
      <c r="S94" s="55"/>
      <c r="T94" s="55"/>
      <c r="U94" s="55"/>
      <c r="V94" s="55"/>
      <c r="W94" s="55"/>
      <c r="X94" s="55"/>
    </row>
    <row r="95" spans="1:28" ht="30" customHeight="1" x14ac:dyDescent="0.3">
      <c r="S95" s="55"/>
      <c r="T95" s="55"/>
      <c r="U95" s="55"/>
      <c r="V95" s="55"/>
      <c r="W95" s="55"/>
      <c r="X95" s="55"/>
    </row>
    <row r="96" spans="1:28" ht="30" customHeight="1" x14ac:dyDescent="0.3">
      <c r="S96" s="55"/>
      <c r="T96" s="55"/>
      <c r="U96" s="55"/>
      <c r="V96" s="55"/>
      <c r="W96" s="55"/>
      <c r="X96" s="55"/>
    </row>
    <row r="97" spans="15:24" ht="30" customHeight="1" x14ac:dyDescent="0.3">
      <c r="S97" s="55"/>
      <c r="T97" s="55"/>
      <c r="U97" s="55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utEqtZeXM2aRbKhW6hSBoACfwCF3O5dAOD+1By4mhfazLK3ann8J12nogHccSU3uHVG0niHt0J3usmzPAJ/Jww==" saltValue="1iTmIKvHnUVF/FZXwkLM9Q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6:Z86"/>
    <mergeCell ref="S68:T68"/>
    <mergeCell ref="S70:T70"/>
    <mergeCell ref="Y76:AA76"/>
    <mergeCell ref="W77:W79"/>
    <mergeCell ref="Y79:Z79"/>
    <mergeCell ref="Y83:AA83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34" priority="10" operator="containsText" text="Change">
      <formula>NOT(ISERROR(SEARCH("Change",R1)))</formula>
    </cfRule>
  </conditionalFormatting>
  <conditionalFormatting sqref="R45:R48">
    <cfRule type="cellIs" dxfId="33" priority="7" operator="equal">
      <formula>"Send in Change Order"</formula>
    </cfRule>
  </conditionalFormatting>
  <conditionalFormatting sqref="W68">
    <cfRule type="cellIs" dxfId="32" priority="2" operator="notEqual">
      <formula>$E$82</formula>
    </cfRule>
    <cfRule type="cellIs" dxfId="31" priority="3" operator="greaterThan">
      <formula>$E$82</formula>
    </cfRule>
    <cfRule type="cellIs" dxfId="30" priority="4" operator="notEqual">
      <formula>$E$82</formula>
    </cfRule>
  </conditionalFormatting>
  <conditionalFormatting sqref="Z12:Z44">
    <cfRule type="cellIs" dxfId="29" priority="8" operator="lessThan">
      <formula>0</formula>
    </cfRule>
  </conditionalFormatting>
  <conditionalFormatting sqref="Z49:Z68">
    <cfRule type="cellIs" dxfId="28" priority="5" operator="lessThan">
      <formula>0</formula>
    </cfRule>
  </conditionalFormatting>
  <conditionalFormatting sqref="AA68">
    <cfRule type="cellIs" dxfId="27" priority="1" operator="notEqual">
      <formula>$O$82</formula>
    </cfRule>
  </conditionalFormatting>
  <conditionalFormatting sqref="AB1:AB1048576">
    <cfRule type="containsText" dxfId="26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6" manualBreakCount="6">
    <brk id="6" max="1048575" man="1"/>
    <brk id="10" max="1048575" man="1"/>
    <brk id="16" max="1048575" man="1"/>
    <brk id="18" max="1048575" man="1"/>
    <brk id="27" max="1048575" man="1"/>
    <brk id="29" max="1048575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664062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21875" style="50" customWidth="1"/>
    <col min="19" max="19" width="6.109375" style="39" customWidth="1"/>
    <col min="20" max="20" width="31.109375" style="39" customWidth="1"/>
    <col min="21" max="21" width="17.77734375" style="39" customWidth="1"/>
    <col min="22" max="27" width="18.88671875" style="39" customWidth="1"/>
    <col min="28" max="28" width="24.3320312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53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46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53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53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195" t="s">
        <v>35</v>
      </c>
      <c r="H6" s="196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55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197">
        <f>S12</f>
        <v>1</v>
      </c>
      <c r="H7" s="198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197">
        <f t="shared" ref="G8:G39" si="0">S13</f>
        <v>2</v>
      </c>
      <c r="H8" s="198" t="str">
        <f t="shared" ref="H8:I23" si="1">T13</f>
        <v>General Contract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68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197">
        <f t="shared" si="0"/>
        <v>3</v>
      </c>
      <c r="H9" s="198" t="str">
        <f t="shared" si="1"/>
        <v>Architect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74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46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197">
        <f t="shared" si="0"/>
        <v>4</v>
      </c>
      <c r="H10" s="198" t="str">
        <f t="shared" si="1"/>
        <v>Architect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197">
        <f t="shared" si="0"/>
        <v>5</v>
      </c>
      <c r="H11" s="198" t="str">
        <f t="shared" si="1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80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197">
        <f t="shared" si="0"/>
        <v>6</v>
      </c>
      <c r="H12" s="198" t="str">
        <f t="shared" si="1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#45'!V12,"OK","Send in Change Order")</f>
        <v>OK</v>
      </c>
      <c r="S12" s="85">
        <v>1</v>
      </c>
      <c r="T12" s="86" t="str">
        <f>'Request #35'!T12</f>
        <v>Land/Site Grading &amp; Improv.</v>
      </c>
      <c r="U12" s="218">
        <f>'Request #45'!U12</f>
        <v>0</v>
      </c>
      <c r="V12" s="87">
        <f>'Request #45'!V12</f>
        <v>0</v>
      </c>
      <c r="W12" s="88">
        <f>SUMIF(F7:F79,1,E7:E79)</f>
        <v>0</v>
      </c>
      <c r="X12" s="88">
        <f>'Request #45'!Y12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#45'!AA12,"OK","Alert,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197">
        <f t="shared" si="0"/>
        <v>7</v>
      </c>
      <c r="H13" s="198" t="str">
        <f t="shared" si="1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#45'!V13,"OK","Send in Change Order")</f>
        <v>OK</v>
      </c>
      <c r="S13" s="85">
        <v>2</v>
      </c>
      <c r="T13" s="86" t="s">
        <v>122</v>
      </c>
      <c r="U13" s="218">
        <f>'Request #45'!U13</f>
        <v>0</v>
      </c>
      <c r="V13" s="87">
        <f>'Request #45'!V13</f>
        <v>0</v>
      </c>
      <c r="W13" s="88">
        <f>SUMIF(F7:F79,2,E7:E79)</f>
        <v>0</v>
      </c>
      <c r="X13" s="88">
        <f>'Request #45'!Y13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#45'!AA13,"OK","Alert,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197">
        <f t="shared" si="0"/>
        <v>8</v>
      </c>
      <c r="H14" s="198" t="str">
        <f t="shared" si="1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#45'!V14,"OK","Send in Change Order")</f>
        <v>OK</v>
      </c>
      <c r="S14" s="85">
        <v>3</v>
      </c>
      <c r="T14" s="86" t="s">
        <v>123</v>
      </c>
      <c r="U14" s="218">
        <f>'Request #45'!U14</f>
        <v>0</v>
      </c>
      <c r="V14" s="87">
        <f>'Request #45'!V14</f>
        <v>0</v>
      </c>
      <c r="W14" s="88">
        <f>SUMIF(F7:F79,3,E7:E79)</f>
        <v>0</v>
      </c>
      <c r="X14" s="88">
        <f>'Request #45'!Y14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#45'!AA14,"OK","Alert,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197">
        <f t="shared" si="0"/>
        <v>9</v>
      </c>
      <c r="H15" s="198" t="str">
        <f t="shared" si="1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#45'!V15,"OK","Send in Change Order")</f>
        <v>OK</v>
      </c>
      <c r="S15" s="85">
        <v>4</v>
      </c>
      <c r="T15" s="86" t="s">
        <v>124</v>
      </c>
      <c r="U15" s="218">
        <f>'Request #45'!U15</f>
        <v>0</v>
      </c>
      <c r="V15" s="87">
        <f>'Request #45'!V15</f>
        <v>0</v>
      </c>
      <c r="W15" s="88">
        <f>SUMIF(F7:F79,4,E7:E79)</f>
        <v>0</v>
      </c>
      <c r="X15" s="88">
        <f>'Request #45'!Y15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#45'!AA15,"OK","Alert,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197">
        <f t="shared" si="0"/>
        <v>10</v>
      </c>
      <c r="H16" s="198" t="str">
        <f t="shared" si="1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#45'!V16,"OK","Send in Change Order")</f>
        <v>OK</v>
      </c>
      <c r="S16" s="85">
        <v>5</v>
      </c>
      <c r="T16" s="86" t="s">
        <v>71</v>
      </c>
      <c r="U16" s="218">
        <f>'Request #45'!U16</f>
        <v>0</v>
      </c>
      <c r="V16" s="87">
        <f>'Request #45'!V16</f>
        <v>0</v>
      </c>
      <c r="W16" s="88">
        <f>SUMIF(F7:F79,5,E7:E79)</f>
        <v>0</v>
      </c>
      <c r="X16" s="88">
        <f>'Request #45'!Y16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#45'!AA16,"OK","Alert,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197">
        <f t="shared" si="0"/>
        <v>11</v>
      </c>
      <c r="H17" s="198" t="str">
        <f t="shared" si="1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#45'!V17,"OK","Send in Change Order")</f>
        <v>OK</v>
      </c>
      <c r="S17" s="85">
        <v>6</v>
      </c>
      <c r="T17" s="86" t="s">
        <v>71</v>
      </c>
      <c r="U17" s="218">
        <f>'Request #45'!U17</f>
        <v>0</v>
      </c>
      <c r="V17" s="87">
        <f>'Request #45'!V17</f>
        <v>0</v>
      </c>
      <c r="W17" s="88">
        <f>SUMIF(F7:F79,6,E7:E79)</f>
        <v>0</v>
      </c>
      <c r="X17" s="88">
        <f>'Request #45'!Y17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#45'!AA17,"OK","Alert,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197">
        <f t="shared" si="0"/>
        <v>12</v>
      </c>
      <c r="H18" s="198" t="str">
        <f t="shared" si="1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#45'!V18,"OK","Send in Change Order")</f>
        <v>OK</v>
      </c>
      <c r="S18" s="85">
        <v>7</v>
      </c>
      <c r="T18" s="86" t="s">
        <v>71</v>
      </c>
      <c r="U18" s="218">
        <f>'Request #45'!U18</f>
        <v>0</v>
      </c>
      <c r="V18" s="87">
        <f>'Request #45'!V18</f>
        <v>0</v>
      </c>
      <c r="W18" s="88">
        <f>SUMIF(F7:F79,7,E7:E79)</f>
        <v>0</v>
      </c>
      <c r="X18" s="88">
        <f>'Request #45'!Y18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#45'!AA18,"OK","Alert,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197">
        <f t="shared" si="0"/>
        <v>13</v>
      </c>
      <c r="H19" s="198" t="str">
        <f t="shared" si="1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#45'!V19,"OK","Send in Change Order")</f>
        <v>OK</v>
      </c>
      <c r="S19" s="85">
        <v>8</v>
      </c>
      <c r="T19" s="86" t="s">
        <v>71</v>
      </c>
      <c r="U19" s="218">
        <f>'Request #45'!U19</f>
        <v>0</v>
      </c>
      <c r="V19" s="87">
        <f>'Request #45'!V19</f>
        <v>0</v>
      </c>
      <c r="W19" s="88">
        <f>SUMIF(F7:F79,8,E7:E79)</f>
        <v>0</v>
      </c>
      <c r="X19" s="88">
        <f>'Request #45'!Y19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#45'!AA19,"OK","Alert,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197">
        <f t="shared" si="0"/>
        <v>14</v>
      </c>
      <c r="H20" s="198" t="str">
        <f t="shared" si="1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#45'!V20,"OK","Send in Change Order")</f>
        <v>OK</v>
      </c>
      <c r="S20" s="85">
        <v>9</v>
      </c>
      <c r="T20" s="86" t="s">
        <v>71</v>
      </c>
      <c r="U20" s="218">
        <f>'Request #45'!U20</f>
        <v>0</v>
      </c>
      <c r="V20" s="87">
        <f>'Request #45'!V20</f>
        <v>0</v>
      </c>
      <c r="W20" s="88">
        <f>SUMIF(F7:F79,9,E7:E79)</f>
        <v>0</v>
      </c>
      <c r="X20" s="88">
        <f>'Request #45'!Y20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#45'!AA20,"OK","Alert,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197">
        <f t="shared" si="0"/>
        <v>15</v>
      </c>
      <c r="H21" s="198" t="str">
        <f t="shared" si="1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#45'!V21,"OK","Send in Change Order")</f>
        <v>OK</v>
      </c>
      <c r="S21" s="85">
        <v>10</v>
      </c>
      <c r="T21" s="86" t="s">
        <v>71</v>
      </c>
      <c r="U21" s="218">
        <f>'Request #45'!U21</f>
        <v>0</v>
      </c>
      <c r="V21" s="87">
        <f>'Request #45'!V21</f>
        <v>0</v>
      </c>
      <c r="W21" s="88">
        <f>SUMIF(F7:F79,10,E7:E79)</f>
        <v>0</v>
      </c>
      <c r="X21" s="88">
        <f>'Request #45'!Y21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#45'!AA21,"OK","Alert,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197">
        <f t="shared" si="0"/>
        <v>16</v>
      </c>
      <c r="H22" s="198" t="str">
        <f t="shared" si="1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#45'!V22,"OK","Send in Change Order")</f>
        <v>OK</v>
      </c>
      <c r="S22" s="85">
        <v>11</v>
      </c>
      <c r="T22" s="86" t="s">
        <v>71</v>
      </c>
      <c r="U22" s="218">
        <f>'Request #45'!U22</f>
        <v>0</v>
      </c>
      <c r="V22" s="87">
        <f>'Request #45'!V22</f>
        <v>0</v>
      </c>
      <c r="W22" s="88">
        <f>SUMIF(F7:F79,11,E7:E79)</f>
        <v>0</v>
      </c>
      <c r="X22" s="88">
        <f>'Request #45'!Y22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#45'!AA22,"OK","Alert,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197">
        <f t="shared" si="0"/>
        <v>17</v>
      </c>
      <c r="H23" s="198" t="str">
        <f t="shared" si="1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#45'!V23,"OK","Send in Change Order")</f>
        <v>OK</v>
      </c>
      <c r="S23" s="85">
        <v>12</v>
      </c>
      <c r="T23" s="86" t="s">
        <v>71</v>
      </c>
      <c r="U23" s="218">
        <f>'Request #45'!U23</f>
        <v>0</v>
      </c>
      <c r="V23" s="87">
        <f>'Request #45'!V23</f>
        <v>0</v>
      </c>
      <c r="W23" s="88">
        <f>SUMIF(F7:F79,12,E7:E79)</f>
        <v>0</v>
      </c>
      <c r="X23" s="88">
        <f>'Request #45'!Y23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#45'!AA23,"OK","Alert,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197">
        <f t="shared" si="0"/>
        <v>18</v>
      </c>
      <c r="H24" s="198" t="str">
        <f t="shared" ref="H24:I39" si="4">T29</f>
        <v>Other Contracts</v>
      </c>
      <c r="I24" s="247">
        <f t="shared" si="4"/>
        <v>0</v>
      </c>
      <c r="K24" s="159"/>
      <c r="L24" s="157"/>
      <c r="M24" s="157"/>
      <c r="N24" s="154"/>
      <c r="O24" s="155"/>
      <c r="P24" s="158"/>
      <c r="R24" s="50" t="str">
        <f>IF(V24='Request #45'!V24,"OK","Send in Change Order")</f>
        <v>OK</v>
      </c>
      <c r="S24" s="85">
        <v>13</v>
      </c>
      <c r="T24" s="86" t="s">
        <v>71</v>
      </c>
      <c r="U24" s="218">
        <f>'Request #45'!U24</f>
        <v>0</v>
      </c>
      <c r="V24" s="87">
        <f>'Request #45'!V24</f>
        <v>0</v>
      </c>
      <c r="W24" s="88">
        <f>SUMIF(F7:F79,13,E7:E79)</f>
        <v>0</v>
      </c>
      <c r="X24" s="88">
        <f>'Request #45'!Y24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#45'!AA24,"OK","Alert,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197">
        <f t="shared" si="0"/>
        <v>19</v>
      </c>
      <c r="H25" s="198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#45'!V25,"OK","Send in Change Order")</f>
        <v>OK</v>
      </c>
      <c r="S25" s="85">
        <v>14</v>
      </c>
      <c r="T25" s="86" t="s">
        <v>71</v>
      </c>
      <c r="U25" s="218">
        <f>'Request #45'!U25</f>
        <v>0</v>
      </c>
      <c r="V25" s="87">
        <f>'Request #45'!V25</f>
        <v>0</v>
      </c>
      <c r="W25" s="88">
        <f>SUMIF(F7:F79,14,E7:E79)</f>
        <v>0</v>
      </c>
      <c r="X25" s="88">
        <f>'Request #45'!Y25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#45'!AA25,"OK","Alert,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197">
        <f t="shared" si="0"/>
        <v>20</v>
      </c>
      <c r="H26" s="198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#45'!V26,"OK","Send in Change Order")</f>
        <v>OK</v>
      </c>
      <c r="S26" s="85">
        <v>15</v>
      </c>
      <c r="T26" s="86" t="s">
        <v>71</v>
      </c>
      <c r="U26" s="218">
        <f>'Request #45'!U26</f>
        <v>0</v>
      </c>
      <c r="V26" s="87">
        <f>'Request #45'!V26</f>
        <v>0</v>
      </c>
      <c r="W26" s="88">
        <f>SUMIF(F7:F79,15,E7:E79)</f>
        <v>0</v>
      </c>
      <c r="X26" s="88">
        <f>'Request #45'!Y26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#45'!AA26,"OK","Alert,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197">
        <f t="shared" si="0"/>
        <v>21</v>
      </c>
      <c r="H27" s="198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#45'!V27,"OK","Send in Change Order")</f>
        <v>OK</v>
      </c>
      <c r="S27" s="85">
        <v>16</v>
      </c>
      <c r="T27" s="86" t="s">
        <v>71</v>
      </c>
      <c r="U27" s="218">
        <f>'Request #45'!U27</f>
        <v>0</v>
      </c>
      <c r="V27" s="87">
        <f>'Request #45'!V27</f>
        <v>0</v>
      </c>
      <c r="W27" s="88">
        <f>SUMIF(F7:F79,16,E7:E79)</f>
        <v>0</v>
      </c>
      <c r="X27" s="88">
        <f>'Request #45'!Y27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#45'!AA27,"OK","Alert,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197">
        <f t="shared" si="0"/>
        <v>22</v>
      </c>
      <c r="H28" s="198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#45'!V28,"OK","Send in Change Order")</f>
        <v>OK</v>
      </c>
      <c r="S28" s="85">
        <v>17</v>
      </c>
      <c r="T28" s="86" t="s">
        <v>71</v>
      </c>
      <c r="U28" s="218">
        <f>'Request #45'!U28</f>
        <v>0</v>
      </c>
      <c r="V28" s="87">
        <f>'Request #45'!V28</f>
        <v>0</v>
      </c>
      <c r="W28" s="88">
        <f>SUMIF(F7:F79,17,E7:E79)</f>
        <v>0</v>
      </c>
      <c r="X28" s="88">
        <f>'Request #45'!Y28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#45'!AA28,"OK","Alert,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197">
        <f t="shared" si="0"/>
        <v>23</v>
      </c>
      <c r="H29" s="198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#45'!V29,"OK","Send in Change Order")</f>
        <v>OK</v>
      </c>
      <c r="S29" s="85">
        <v>18</v>
      </c>
      <c r="T29" s="86" t="s">
        <v>71</v>
      </c>
      <c r="U29" s="218">
        <f>'Request #45'!U29</f>
        <v>0</v>
      </c>
      <c r="V29" s="87">
        <f>'Request #45'!V29</f>
        <v>0</v>
      </c>
      <c r="W29" s="88">
        <f>SUMIF(F7:F79,18,E7:E79)</f>
        <v>0</v>
      </c>
      <c r="X29" s="88">
        <f>'Request #45'!Y29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#45'!AA29,"OK","Alert,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197">
        <f t="shared" si="0"/>
        <v>24</v>
      </c>
      <c r="H30" s="198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#45'!V30,"OK","Send in Change Order")</f>
        <v>OK</v>
      </c>
      <c r="S30" s="85">
        <v>19</v>
      </c>
      <c r="T30" s="86" t="s">
        <v>71</v>
      </c>
      <c r="U30" s="218">
        <f>'Request #45'!U30</f>
        <v>0</v>
      </c>
      <c r="V30" s="87">
        <f>'Request #45'!V30</f>
        <v>0</v>
      </c>
      <c r="W30" s="88">
        <f>SUMIF(F7:F79,19,E7:E79)</f>
        <v>0</v>
      </c>
      <c r="X30" s="88">
        <f>'Request #45'!Y30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#45'!AA30,"OK","Alert,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197">
        <f t="shared" si="0"/>
        <v>25</v>
      </c>
      <c r="H31" s="198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#45'!V31,"OK","Send in Change Order")</f>
        <v>OK</v>
      </c>
      <c r="S31" s="85">
        <v>20</v>
      </c>
      <c r="T31" s="86" t="s">
        <v>71</v>
      </c>
      <c r="U31" s="218">
        <f>'Request #45'!U31</f>
        <v>0</v>
      </c>
      <c r="V31" s="87">
        <f>'Request #45'!V31</f>
        <v>0</v>
      </c>
      <c r="W31" s="88">
        <f>SUMIF(F7:F79,20,E7:E79)</f>
        <v>0</v>
      </c>
      <c r="X31" s="88">
        <f>'Request #45'!Y31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#45'!AA31,"OK","Alert,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197">
        <f t="shared" si="0"/>
        <v>26</v>
      </c>
      <c r="H32" s="198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#45'!V32,"OK","Send in Change Order")</f>
        <v>OK</v>
      </c>
      <c r="S32" s="85">
        <v>21</v>
      </c>
      <c r="T32" s="86" t="s">
        <v>71</v>
      </c>
      <c r="U32" s="218">
        <f>'Request #45'!U32</f>
        <v>0</v>
      </c>
      <c r="V32" s="87">
        <f>'Request #45'!V32</f>
        <v>0</v>
      </c>
      <c r="W32" s="88">
        <f>SUMIF(F7:F79,21,E7:E79)</f>
        <v>0</v>
      </c>
      <c r="X32" s="88">
        <f>'Request #45'!Y32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#45'!AA32,"OK","Alert,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197">
        <f t="shared" si="0"/>
        <v>27</v>
      </c>
      <c r="H33" s="198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#45'!V33,"OK","Send in Change Order")</f>
        <v>OK</v>
      </c>
      <c r="S33" s="85">
        <v>22</v>
      </c>
      <c r="T33" s="86" t="s">
        <v>71</v>
      </c>
      <c r="U33" s="218">
        <f>'Request #45'!U33</f>
        <v>0</v>
      </c>
      <c r="V33" s="87">
        <f>'Request #45'!V33</f>
        <v>0</v>
      </c>
      <c r="W33" s="88">
        <f>SUMIF(F7:F79,22,E7:E79)</f>
        <v>0</v>
      </c>
      <c r="X33" s="88">
        <f>'Request #45'!Y33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#45'!AA33,"OK","Alert,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197">
        <f t="shared" si="0"/>
        <v>28</v>
      </c>
      <c r="H34" s="198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#45'!V34,"OK","Send in Change Order")</f>
        <v>OK</v>
      </c>
      <c r="S34" s="85">
        <v>23</v>
      </c>
      <c r="T34" s="86" t="s">
        <v>71</v>
      </c>
      <c r="U34" s="218">
        <f>'Request #45'!U34</f>
        <v>0</v>
      </c>
      <c r="V34" s="87">
        <f>'Request #45'!V34</f>
        <v>0</v>
      </c>
      <c r="W34" s="88">
        <f>SUMIF(F7:F79,23,E7:E79)</f>
        <v>0</v>
      </c>
      <c r="X34" s="88">
        <f>'Request #45'!Y34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#45'!AA34,"OK","Alert,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197">
        <f t="shared" si="0"/>
        <v>29</v>
      </c>
      <c r="H35" s="198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IF(V36='Request #45'!V36,"OK","Send in Change Order")</f>
        <v>OK</v>
      </c>
      <c r="S35" s="85">
        <v>24</v>
      </c>
      <c r="T35" s="86" t="s">
        <v>71</v>
      </c>
      <c r="U35" s="218">
        <f>'Request #45'!U35</f>
        <v>0</v>
      </c>
      <c r="V35" s="87">
        <f>'Request #45'!V35</f>
        <v>0</v>
      </c>
      <c r="W35" s="88">
        <f>SUMIF(F7:F79,24,E7:E79)</f>
        <v>0</v>
      </c>
      <c r="X35" s="88">
        <f>'Request #45'!Y35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IF(W36&gt;='Request #45'!AA36,"OK","Alert,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197">
        <f t="shared" si="0"/>
        <v>30</v>
      </c>
      <c r="H36" s="198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#45'!V36,"OK","Send in Change Order")</f>
        <v>OK</v>
      </c>
      <c r="S36" s="85">
        <v>25</v>
      </c>
      <c r="T36" s="86" t="s">
        <v>71</v>
      </c>
      <c r="U36" s="218">
        <f>'Request #45'!U36</f>
        <v>0</v>
      </c>
      <c r="V36" s="87">
        <f>'Request #45'!V36</f>
        <v>0</v>
      </c>
      <c r="W36" s="88">
        <f>SUMIF(F7:F79,25,E7:E79)</f>
        <v>0</v>
      </c>
      <c r="X36" s="88">
        <f>'Request #45'!Y36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#45'!AA36,"OK","Alert,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197">
        <f t="shared" si="0"/>
        <v>31</v>
      </c>
      <c r="H37" s="198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#45'!V37,"OK","Send in Change Order")</f>
        <v>OK</v>
      </c>
      <c r="S37" s="85">
        <v>26</v>
      </c>
      <c r="T37" s="86" t="s">
        <v>82</v>
      </c>
      <c r="U37" s="218">
        <f>'Request #45'!U37</f>
        <v>0</v>
      </c>
      <c r="V37" s="87">
        <f>'Request #45'!V37</f>
        <v>0</v>
      </c>
      <c r="W37" s="88">
        <f>SUMIF(F7:F79,26,E7:E79)</f>
        <v>0</v>
      </c>
      <c r="X37" s="88">
        <f>'Request #45'!Y37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#45'!AA37,"OK","Alert,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197">
        <f t="shared" si="0"/>
        <v>32</v>
      </c>
      <c r="H38" s="198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#45'!V38,"OK","Send in Change Order")</f>
        <v>OK</v>
      </c>
      <c r="S38" s="85">
        <v>27</v>
      </c>
      <c r="T38" s="86" t="s">
        <v>82</v>
      </c>
      <c r="U38" s="218">
        <f>'Request #45'!U38</f>
        <v>0</v>
      </c>
      <c r="V38" s="87">
        <f>'Request #45'!V38</f>
        <v>0</v>
      </c>
      <c r="W38" s="88">
        <f>SUMIF(F7:F79,27,E7:E79)</f>
        <v>0</v>
      </c>
      <c r="X38" s="88">
        <f>'Request #45'!Y38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#45'!AA38,"OK","Alert,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197">
        <f t="shared" si="0"/>
        <v>33</v>
      </c>
      <c r="H39" s="198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#45'!V39,"OK","Send in Change Order")</f>
        <v>OK</v>
      </c>
      <c r="S39" s="85">
        <v>28</v>
      </c>
      <c r="T39" s="86" t="s">
        <v>82</v>
      </c>
      <c r="U39" s="218">
        <f>'Request #45'!U39</f>
        <v>0</v>
      </c>
      <c r="V39" s="87">
        <f>'Request #45'!V39</f>
        <v>0</v>
      </c>
      <c r="W39" s="88">
        <f>SUMIF(F7:F79,28,E7:E79)</f>
        <v>0</v>
      </c>
      <c r="X39" s="88">
        <f>'Request #45'!Y39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#45'!AA39,"OK","Alert,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197">
        <f t="shared" ref="G40:H62" si="5">S45</f>
        <v>0</v>
      </c>
      <c r="H40" s="198">
        <f t="shared" ref="H40:I55" si="6">T45</f>
        <v>0</v>
      </c>
      <c r="I40" s="247">
        <f t="shared" si="6"/>
        <v>0</v>
      </c>
      <c r="K40" s="159"/>
      <c r="L40" s="157"/>
      <c r="M40" s="157"/>
      <c r="N40" s="154"/>
      <c r="O40" s="155"/>
      <c r="P40" s="158"/>
      <c r="R40" s="50" t="str">
        <f>IF(V40='Request #45'!V40,"OK","Send in Change Order")</f>
        <v>OK</v>
      </c>
      <c r="S40" s="85">
        <v>29</v>
      </c>
      <c r="T40" s="86" t="s">
        <v>82</v>
      </c>
      <c r="U40" s="218">
        <f>'Request #45'!U40</f>
        <v>0</v>
      </c>
      <c r="V40" s="87">
        <f>'Request #45'!V40</f>
        <v>0</v>
      </c>
      <c r="W40" s="88">
        <f>SUMIF(F7:F79,29,E7:E79)</f>
        <v>0</v>
      </c>
      <c r="X40" s="88">
        <f>'Request #45'!Y40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#45'!AA40,"OK","Alert,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197" t="str">
        <f t="shared" si="5"/>
        <v>Cost</v>
      </c>
      <c r="H41" s="198">
        <f t="shared" si="6"/>
        <v>0</v>
      </c>
      <c r="I41" s="247">
        <f t="shared" si="6"/>
        <v>0</v>
      </c>
      <c r="K41" s="159"/>
      <c r="L41" s="157"/>
      <c r="M41" s="157"/>
      <c r="N41" s="154"/>
      <c r="O41" s="155"/>
      <c r="P41" s="158"/>
      <c r="R41" s="50" t="str">
        <f>IF(V41='Request #45'!V41,"OK","Send in Change Order")</f>
        <v>OK</v>
      </c>
      <c r="S41" s="85">
        <v>30</v>
      </c>
      <c r="T41" s="86" t="s">
        <v>82</v>
      </c>
      <c r="U41" s="218">
        <f>'Request #45'!U41</f>
        <v>0</v>
      </c>
      <c r="V41" s="87">
        <f>'Request #45'!V41</f>
        <v>0</v>
      </c>
      <c r="W41" s="88">
        <f>SUMIF(F7:F79,30,E7:E79)</f>
        <v>0</v>
      </c>
      <c r="X41" s="88">
        <f>'Request #45'!Y41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#45'!AA41,"OK","Alert,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197" t="str">
        <f t="shared" si="5"/>
        <v>Item</v>
      </c>
      <c r="H42" s="198" t="str">
        <f t="shared" si="6"/>
        <v>Account Name</v>
      </c>
      <c r="I42" s="247">
        <f t="shared" si="6"/>
        <v>0</v>
      </c>
      <c r="K42" s="159"/>
      <c r="L42" s="157"/>
      <c r="M42" s="157"/>
      <c r="N42" s="154"/>
      <c r="O42" s="155"/>
      <c r="P42" s="158"/>
      <c r="R42" s="50" t="str">
        <f>IF(V42='Request #45'!V42,"OK","Send in Change Order")</f>
        <v>OK</v>
      </c>
      <c r="S42" s="85">
        <v>31</v>
      </c>
      <c r="T42" s="86" t="s">
        <v>82</v>
      </c>
      <c r="U42" s="218">
        <f>'Request #45'!U42</f>
        <v>0</v>
      </c>
      <c r="V42" s="87">
        <f>'Request #45'!V42</f>
        <v>0</v>
      </c>
      <c r="W42" s="88">
        <f>SUMIF(F7:F79,31,E7:E79)</f>
        <v>0</v>
      </c>
      <c r="X42" s="88">
        <f>'Request #45'!Y42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#45'!AA42,"OK","Alert,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197">
        <f t="shared" si="5"/>
        <v>0</v>
      </c>
      <c r="H43" s="198">
        <f t="shared" si="6"/>
        <v>0</v>
      </c>
      <c r="I43" s="247">
        <f t="shared" si="6"/>
        <v>0</v>
      </c>
      <c r="K43" s="159"/>
      <c r="L43" s="157"/>
      <c r="M43" s="157"/>
      <c r="N43" s="154"/>
      <c r="O43" s="155"/>
      <c r="P43" s="158"/>
      <c r="R43" s="50" t="str">
        <f>IF(V43='Request #45'!V43,"OK","Send in Change Order")</f>
        <v>OK</v>
      </c>
      <c r="S43" s="85">
        <v>32</v>
      </c>
      <c r="T43" s="86" t="s">
        <v>82</v>
      </c>
      <c r="U43" s="218">
        <f>'Request #45'!U43</f>
        <v>0</v>
      </c>
      <c r="V43" s="87">
        <f>'Request #45'!V43</f>
        <v>0</v>
      </c>
      <c r="W43" s="88">
        <f>SUMIF(F7:F79,32,E7:E79)</f>
        <v>0</v>
      </c>
      <c r="X43" s="88">
        <f>'Request #45'!Y43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#45'!AA43,"OK","Alert,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197">
        <f t="shared" si="5"/>
        <v>38</v>
      </c>
      <c r="H44" s="198" t="str">
        <f t="shared" si="6"/>
        <v>Other Fees</v>
      </c>
      <c r="I44" s="247">
        <f t="shared" si="6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#45'!V44,"OK","Send in Change Order")</f>
        <v>OK</v>
      </c>
      <c r="S44" s="85">
        <v>33</v>
      </c>
      <c r="T44" s="86" t="s">
        <v>82</v>
      </c>
      <c r="U44" s="218">
        <f>'Request #45'!U44</f>
        <v>0</v>
      </c>
      <c r="V44" s="87">
        <f>'Request #45'!V44</f>
        <v>0</v>
      </c>
      <c r="W44" s="88">
        <f>SUMIF(F7:F79,33,E7:E79)</f>
        <v>0</v>
      </c>
      <c r="X44" s="88">
        <f>'Request #45'!Y44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#45'!AA44,"OK","Alert,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6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6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197">
        <f t="shared" si="5"/>
        <v>41</v>
      </c>
      <c r="H47" s="198" t="str">
        <f t="shared" si="6"/>
        <v>Other Fees</v>
      </c>
      <c r="I47" s="247">
        <f t="shared" si="6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197">
        <f t="shared" si="5"/>
        <v>42</v>
      </c>
      <c r="H48" s="198" t="str">
        <f t="shared" si="6"/>
        <v>Other Fees</v>
      </c>
      <c r="I48" s="247">
        <f t="shared" si="6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197">
        <f t="shared" si="5"/>
        <v>43</v>
      </c>
      <c r="H49" s="198" t="str">
        <f t="shared" si="6"/>
        <v>Other Fees</v>
      </c>
      <c r="I49" s="247">
        <f t="shared" si="6"/>
        <v>0</v>
      </c>
      <c r="K49" s="159"/>
      <c r="L49" s="157"/>
      <c r="M49" s="157"/>
      <c r="N49" s="154"/>
      <c r="O49" s="155"/>
      <c r="P49" s="158"/>
      <c r="R49" s="50" t="str">
        <f>IF(V49='Request #45'!V49,"OK","Send in Change Order")</f>
        <v>OK</v>
      </c>
      <c r="S49" s="85">
        <v>38</v>
      </c>
      <c r="T49" s="86" t="s">
        <v>82</v>
      </c>
      <c r="U49" s="218">
        <f>'Request #45'!U49</f>
        <v>0</v>
      </c>
      <c r="V49" s="87">
        <f>'Request #45'!V49</f>
        <v>0</v>
      </c>
      <c r="W49" s="88">
        <f>SUMIF(F7:F79,38,E7:E79)</f>
        <v>0</v>
      </c>
      <c r="X49" s="88">
        <f>'Request #45'!Y49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#45'!AA49,"OK","Alert,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197">
        <f t="shared" si="5"/>
        <v>44</v>
      </c>
      <c r="H50" s="198" t="str">
        <f t="shared" si="6"/>
        <v>Other Fees</v>
      </c>
      <c r="I50" s="247">
        <f t="shared" si="6"/>
        <v>0</v>
      </c>
      <c r="K50" s="159"/>
      <c r="L50" s="157"/>
      <c r="M50" s="157"/>
      <c r="N50" s="154"/>
      <c r="O50" s="155"/>
      <c r="P50" s="158"/>
      <c r="R50" s="50" t="str">
        <f>IF(V50='Request #45'!V50,"OK","Send in Change Order")</f>
        <v>OK</v>
      </c>
      <c r="S50" s="85">
        <v>39</v>
      </c>
      <c r="T50" s="86" t="s">
        <v>82</v>
      </c>
      <c r="U50" s="218">
        <f>'Request #45'!U50</f>
        <v>0</v>
      </c>
      <c r="V50" s="87">
        <f>'Request #45'!V50</f>
        <v>0</v>
      </c>
      <c r="W50" s="88">
        <f>SUMIF(F7:F79,39,E7:E79)</f>
        <v>0</v>
      </c>
      <c r="X50" s="88">
        <f>'Request #45'!Y50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#45'!AA50,"OK","Alert,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197">
        <f t="shared" si="5"/>
        <v>45</v>
      </c>
      <c r="H51" s="198" t="str">
        <f t="shared" si="6"/>
        <v>Other Fees</v>
      </c>
      <c r="I51" s="247">
        <f t="shared" si="6"/>
        <v>0</v>
      </c>
      <c r="K51" s="159"/>
      <c r="L51" s="157"/>
      <c r="M51" s="157"/>
      <c r="N51" s="154"/>
      <c r="O51" s="155"/>
      <c r="P51" s="158"/>
      <c r="R51" s="50" t="str">
        <f>IF(V51='Request #45'!V51,"OK","Send in Change Order")</f>
        <v>OK</v>
      </c>
      <c r="S51" s="85">
        <v>40</v>
      </c>
      <c r="T51" s="86" t="s">
        <v>82</v>
      </c>
      <c r="U51" s="218">
        <f>'Request #45'!U51</f>
        <v>0</v>
      </c>
      <c r="V51" s="87">
        <f>'Request #45'!V51</f>
        <v>0</v>
      </c>
      <c r="W51" s="88">
        <f>SUMIF(F7:F79,40,E7:E79)</f>
        <v>0</v>
      </c>
      <c r="X51" s="88">
        <f>'Request #45'!Y51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#45'!AA51,"OK","Alert,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197">
        <f t="shared" si="5"/>
        <v>46</v>
      </c>
      <c r="H52" s="198" t="str">
        <f t="shared" si="6"/>
        <v>Other Fees</v>
      </c>
      <c r="I52" s="247">
        <f t="shared" si="6"/>
        <v>0</v>
      </c>
      <c r="K52" s="159"/>
      <c r="L52" s="157"/>
      <c r="M52" s="157"/>
      <c r="N52" s="154"/>
      <c r="O52" s="155"/>
      <c r="P52" s="158"/>
      <c r="R52" s="50" t="str">
        <f>IF(V52='Request #45'!V52,"OK","Send in Change Order")</f>
        <v>OK</v>
      </c>
      <c r="S52" s="85">
        <v>41</v>
      </c>
      <c r="T52" s="86" t="s">
        <v>82</v>
      </c>
      <c r="U52" s="218">
        <f>'Request #45'!U52</f>
        <v>0</v>
      </c>
      <c r="V52" s="87">
        <f>'Request #45'!V52</f>
        <v>0</v>
      </c>
      <c r="W52" s="88">
        <f>SUMIF(F7:F79,41,E7:E79)</f>
        <v>0</v>
      </c>
      <c r="X52" s="88">
        <f>'Request #45'!Y52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#45'!AA52,"OK","Alert,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197">
        <f t="shared" si="5"/>
        <v>47</v>
      </c>
      <c r="H53" s="198" t="str">
        <f t="shared" si="6"/>
        <v>Other Fees</v>
      </c>
      <c r="I53" s="247">
        <f t="shared" si="6"/>
        <v>0</v>
      </c>
      <c r="K53" s="159"/>
      <c r="L53" s="157"/>
      <c r="M53" s="157"/>
      <c r="N53" s="154"/>
      <c r="O53" s="155"/>
      <c r="P53" s="158"/>
      <c r="R53" s="50" t="str">
        <f>IF(V53='Request #45'!V53,"OK","Send in Change Order")</f>
        <v>OK</v>
      </c>
      <c r="S53" s="85">
        <v>42</v>
      </c>
      <c r="T53" s="86" t="s">
        <v>82</v>
      </c>
      <c r="U53" s="218">
        <f>'Request #45'!U53</f>
        <v>0</v>
      </c>
      <c r="V53" s="87">
        <f>'Request #45'!V53</f>
        <v>0</v>
      </c>
      <c r="W53" s="88">
        <f>SUMIF(F7:F79,42,E7:E79)</f>
        <v>0</v>
      </c>
      <c r="X53" s="88">
        <f>'Request #45'!Y53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#45'!AA53,"OK","Alert,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197">
        <f t="shared" si="5"/>
        <v>48</v>
      </c>
      <c r="H54" s="198" t="str">
        <f t="shared" si="6"/>
        <v>Other Fees</v>
      </c>
      <c r="I54" s="247">
        <f t="shared" si="6"/>
        <v>0</v>
      </c>
      <c r="K54" s="159"/>
      <c r="L54" s="157"/>
      <c r="M54" s="157"/>
      <c r="N54" s="154"/>
      <c r="O54" s="155"/>
      <c r="P54" s="158"/>
      <c r="R54" s="50" t="str">
        <f>IF(V54='Request #45'!V54,"OK","Send in Change Order")</f>
        <v>OK</v>
      </c>
      <c r="S54" s="85">
        <v>43</v>
      </c>
      <c r="T54" s="86" t="s">
        <v>82</v>
      </c>
      <c r="U54" s="218">
        <f>'Request #45'!U54</f>
        <v>0</v>
      </c>
      <c r="V54" s="87">
        <f>'Request #45'!V54</f>
        <v>0</v>
      </c>
      <c r="W54" s="88">
        <f>SUMIF(F7:F79,43,E7:E79)</f>
        <v>0</v>
      </c>
      <c r="X54" s="88">
        <f>'Request #45'!Y54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#45'!AA54,"OK","Alert,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197">
        <f t="shared" si="5"/>
        <v>49</v>
      </c>
      <c r="H55" s="198" t="str">
        <f t="shared" si="6"/>
        <v>Other Fees</v>
      </c>
      <c r="I55" s="247">
        <f t="shared" si="6"/>
        <v>0</v>
      </c>
      <c r="K55" s="159"/>
      <c r="L55" s="157"/>
      <c r="M55" s="157"/>
      <c r="N55" s="154"/>
      <c r="O55" s="155"/>
      <c r="P55" s="158"/>
      <c r="R55" s="50" t="str">
        <f>IF(V55='Request #45'!V55,"OK","Send in Change Order")</f>
        <v>OK</v>
      </c>
      <c r="S55" s="85">
        <v>44</v>
      </c>
      <c r="T55" s="86" t="s">
        <v>82</v>
      </c>
      <c r="U55" s="218">
        <f>'Request #45'!U55</f>
        <v>0</v>
      </c>
      <c r="V55" s="87">
        <f>'Request #45'!V55</f>
        <v>0</v>
      </c>
      <c r="W55" s="88">
        <f>SUMIF(F7:F79,44,E7:E79)</f>
        <v>0</v>
      </c>
      <c r="X55" s="88">
        <f>'Request #45'!Y55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#45'!AA55,"OK","Alert,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197">
        <f t="shared" si="5"/>
        <v>50</v>
      </c>
      <c r="H56" s="198" t="str">
        <f t="shared" ref="H56:I62" si="7">T61</f>
        <v>Other Fees</v>
      </c>
      <c r="I56" s="247">
        <f t="shared" si="7"/>
        <v>0</v>
      </c>
      <c r="K56" s="159"/>
      <c r="L56" s="157"/>
      <c r="M56" s="157"/>
      <c r="N56" s="154"/>
      <c r="O56" s="155"/>
      <c r="P56" s="158"/>
      <c r="R56" s="50" t="str">
        <f>IF(V56='Request #45'!V56,"OK","Send in Change Order")</f>
        <v>OK</v>
      </c>
      <c r="S56" s="85">
        <v>45</v>
      </c>
      <c r="T56" s="86" t="s">
        <v>82</v>
      </c>
      <c r="U56" s="218">
        <f>'Request #45'!U56</f>
        <v>0</v>
      </c>
      <c r="V56" s="87">
        <f>'Request #45'!V56</f>
        <v>0</v>
      </c>
      <c r="W56" s="88">
        <f>SUMIF(F7:F79,45,E7:E79)</f>
        <v>0</v>
      </c>
      <c r="X56" s="88">
        <f>'Request #45'!Y56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#45'!AA56,"OK","Alert,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197">
        <f t="shared" si="5"/>
        <v>51</v>
      </c>
      <c r="H57" s="198" t="str">
        <f t="shared" si="7"/>
        <v>Other Fees</v>
      </c>
      <c r="I57" s="247">
        <f t="shared" si="7"/>
        <v>0</v>
      </c>
      <c r="K57" s="159"/>
      <c r="L57" s="157"/>
      <c r="M57" s="157"/>
      <c r="N57" s="154"/>
      <c r="O57" s="155"/>
      <c r="P57" s="158"/>
      <c r="R57" s="50" t="str">
        <f>IF(V57='Request #45'!V57,"OK","Send in Change Order")</f>
        <v>OK</v>
      </c>
      <c r="S57" s="85">
        <v>46</v>
      </c>
      <c r="T57" s="86" t="s">
        <v>82</v>
      </c>
      <c r="U57" s="218">
        <f>'Request #45'!U57</f>
        <v>0</v>
      </c>
      <c r="V57" s="87">
        <f>'Request #45'!V57</f>
        <v>0</v>
      </c>
      <c r="W57" s="88">
        <f>SUMIF(F7:F79,46,E7:E79)</f>
        <v>0</v>
      </c>
      <c r="X57" s="88">
        <f>'Request #45'!Y57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#45'!AA57,"OK","Alert,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197">
        <f t="shared" si="5"/>
        <v>52</v>
      </c>
      <c r="H58" s="198" t="str">
        <f t="shared" si="7"/>
        <v>Worked Performed by Owner</v>
      </c>
      <c r="I58" s="247">
        <f t="shared" si="7"/>
        <v>0</v>
      </c>
      <c r="K58" s="159"/>
      <c r="L58" s="157"/>
      <c r="M58" s="157"/>
      <c r="N58" s="154"/>
      <c r="O58" s="155"/>
      <c r="P58" s="158"/>
      <c r="R58" s="50" t="str">
        <f>IF(V58='Request #45'!V58,"OK","Send in Change Order")</f>
        <v>OK</v>
      </c>
      <c r="S58" s="85">
        <v>47</v>
      </c>
      <c r="T58" s="86" t="s">
        <v>82</v>
      </c>
      <c r="U58" s="218">
        <f>'Request #45'!U58</f>
        <v>0</v>
      </c>
      <c r="V58" s="87">
        <f>'Request #45'!V58</f>
        <v>0</v>
      </c>
      <c r="W58" s="88">
        <f>SUMIF(F7:F79,47,E7:E79)</f>
        <v>0</v>
      </c>
      <c r="X58" s="88">
        <f>'Request #45'!Y58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#45'!AA58,"OK","Alert,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197">
        <f t="shared" si="5"/>
        <v>53</v>
      </c>
      <c r="H59" s="198" t="str">
        <f t="shared" si="7"/>
        <v>Equipment (Major)</v>
      </c>
      <c r="I59" s="247">
        <f t="shared" si="7"/>
        <v>0</v>
      </c>
      <c r="K59" s="159"/>
      <c r="L59" s="157"/>
      <c r="M59" s="157"/>
      <c r="N59" s="154"/>
      <c r="O59" s="155"/>
      <c r="P59" s="158"/>
      <c r="R59" s="50" t="str">
        <f>IF(V59='Request #45'!V59,"OK","Send in Change Order")</f>
        <v>OK</v>
      </c>
      <c r="S59" s="85">
        <v>48</v>
      </c>
      <c r="T59" s="86" t="s">
        <v>82</v>
      </c>
      <c r="U59" s="218">
        <f>'Request #45'!U59</f>
        <v>0</v>
      </c>
      <c r="V59" s="87">
        <f>'Request #45'!V59</f>
        <v>0</v>
      </c>
      <c r="W59" s="88">
        <f>SUMIF(F7:F79,48,E7:E79)</f>
        <v>0</v>
      </c>
      <c r="X59" s="88">
        <f>'Request #45'!Y59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#45'!AA59,"OK","Alert,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197">
        <f t="shared" si="5"/>
        <v>54</v>
      </c>
      <c r="H60" s="198" t="str">
        <f t="shared" si="7"/>
        <v>Contingency Fund</v>
      </c>
      <c r="I60" s="247">
        <f t="shared" si="7"/>
        <v>0</v>
      </c>
      <c r="K60" s="159"/>
      <c r="L60" s="157"/>
      <c r="M60" s="157"/>
      <c r="N60" s="154"/>
      <c r="O60" s="155"/>
      <c r="P60" s="158"/>
      <c r="R60" s="50" t="str">
        <f>IF(V60='Request #45'!V60,"OK","Send in Change Order")</f>
        <v>OK</v>
      </c>
      <c r="S60" s="85">
        <v>49</v>
      </c>
      <c r="T60" s="86" t="s">
        <v>82</v>
      </c>
      <c r="U60" s="218">
        <f>'Request #45'!U60</f>
        <v>0</v>
      </c>
      <c r="V60" s="87">
        <f>'Request #45'!V60</f>
        <v>0</v>
      </c>
      <c r="W60" s="88">
        <f>SUMIF(F7:F79,49,E7:E79)</f>
        <v>0</v>
      </c>
      <c r="X60" s="88">
        <f>'Request #45'!Y60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#45'!AA60,"OK","Alert,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197">
        <f t="shared" si="5"/>
        <v>55</v>
      </c>
      <c r="H61" s="198">
        <f t="shared" si="7"/>
        <v>0</v>
      </c>
      <c r="I61" s="247">
        <f t="shared" si="7"/>
        <v>0</v>
      </c>
      <c r="K61" s="159"/>
      <c r="L61" s="157"/>
      <c r="M61" s="157"/>
      <c r="N61" s="154"/>
      <c r="O61" s="155"/>
      <c r="P61" s="158"/>
      <c r="R61" s="50" t="str">
        <f>IF(V61='Request #45'!V61,"OK","Send in Change Order")</f>
        <v>OK</v>
      </c>
      <c r="S61" s="85">
        <v>50</v>
      </c>
      <c r="T61" s="86" t="s">
        <v>82</v>
      </c>
      <c r="U61" s="218">
        <f>'Request #45'!U61</f>
        <v>0</v>
      </c>
      <c r="V61" s="87">
        <f>'Request #45'!V61</f>
        <v>0</v>
      </c>
      <c r="W61" s="88">
        <f>SUMIF(F7:F79,50,E7:E79)</f>
        <v>0</v>
      </c>
      <c r="X61" s="88">
        <f>'Request #45'!Y61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#45'!AA61,"OK","Alert,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197">
        <f t="shared" si="5"/>
        <v>56</v>
      </c>
      <c r="H62" s="198">
        <f t="shared" si="7"/>
        <v>0</v>
      </c>
      <c r="I62" s="247">
        <f t="shared" si="7"/>
        <v>0</v>
      </c>
      <c r="K62" s="159"/>
      <c r="L62" s="157"/>
      <c r="M62" s="157"/>
      <c r="N62" s="154"/>
      <c r="O62" s="155"/>
      <c r="P62" s="158"/>
      <c r="R62" s="50" t="str">
        <f>IF(V62='Request #45'!V62,"OK","Send in Change Order")</f>
        <v>OK</v>
      </c>
      <c r="S62" s="85">
        <v>51</v>
      </c>
      <c r="T62" s="86" t="s">
        <v>82</v>
      </c>
      <c r="U62" s="218">
        <f>'Request #45'!U62</f>
        <v>0</v>
      </c>
      <c r="V62" s="87">
        <f>'Request #45'!V62</f>
        <v>0</v>
      </c>
      <c r="W62" s="88">
        <f>SUMIF(F7:F79,51,E7:E79)</f>
        <v>0</v>
      </c>
      <c r="X62" s="88">
        <f>'Request #45'!Y62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#45'!AA62,"OK","Alert,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#45'!V63,"OK","Send in Change Order")</f>
        <v>OK</v>
      </c>
      <c r="S63" s="85">
        <v>52</v>
      </c>
      <c r="T63" s="86" t="s">
        <v>88</v>
      </c>
      <c r="U63" s="218">
        <f>'Request #45'!U63</f>
        <v>0</v>
      </c>
      <c r="V63" s="87">
        <f>'Request #45'!V63</f>
        <v>0</v>
      </c>
      <c r="W63" s="88">
        <f>SUMIF(F7:F79,52,E7:E79)</f>
        <v>0</v>
      </c>
      <c r="X63" s="88">
        <f>'Request #45'!Y63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#45'!AA63,"OK","Alert,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#45'!V64,"OK","Send in Change Order")</f>
        <v>OK</v>
      </c>
      <c r="S64" s="85">
        <v>53</v>
      </c>
      <c r="T64" s="86" t="s">
        <v>89</v>
      </c>
      <c r="U64" s="218">
        <f>'Request #45'!U64</f>
        <v>0</v>
      </c>
      <c r="V64" s="87">
        <f>'Request #45'!V64</f>
        <v>0</v>
      </c>
      <c r="W64" s="88">
        <f>SUMIF(F7:F79,53,E7:E79)</f>
        <v>0</v>
      </c>
      <c r="X64" s="88">
        <f>'Request #45'!Y64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#45'!AA64,"OK","Alert,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#45'!V65,"OK","Send in Change Order")</f>
        <v>OK</v>
      </c>
      <c r="S65" s="85">
        <v>54</v>
      </c>
      <c r="T65" s="102" t="s">
        <v>90</v>
      </c>
      <c r="U65" s="218">
        <f>'Request #45'!U65</f>
        <v>0</v>
      </c>
      <c r="V65" s="87">
        <f>'Request #45'!V65</f>
        <v>0</v>
      </c>
      <c r="W65" s="104"/>
      <c r="X65" s="88">
        <f>'Request #45'!Y65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#45'!AA65,"OK","Alert,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#45'!V66,"OK","Send in Change Order")</f>
        <v>OK</v>
      </c>
      <c r="S66" s="85">
        <v>55</v>
      </c>
      <c r="T66" s="86"/>
      <c r="U66" s="218">
        <f>'Request #45'!U66</f>
        <v>0</v>
      </c>
      <c r="V66" s="87">
        <f>'Request #45'!V66</f>
        <v>0</v>
      </c>
      <c r="W66" s="88">
        <f>SUMIF(F7:F79,55,E7:E79)</f>
        <v>0</v>
      </c>
      <c r="X66" s="88">
        <f>'Request #45'!Y66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#45'!AA66,"OK","Alert,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#45'!V67,"OK","Send in Change Order")</f>
        <v>OK</v>
      </c>
      <c r="S67" s="85">
        <v>56</v>
      </c>
      <c r="T67" s="79"/>
      <c r="U67" s="218">
        <f>'Request #45'!U67</f>
        <v>0</v>
      </c>
      <c r="V67" s="87">
        <f>'Request #45'!V67</f>
        <v>0</v>
      </c>
      <c r="W67" s="88">
        <f>SUMIF(F7:F79,56,E7:E79)</f>
        <v>0</v>
      </c>
      <c r="X67" s="88">
        <f>'Request #45'!Y67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#45'!AA67,"OK","Alert,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#45'!V68,"OK","Send in Change Order")</f>
        <v>OK</v>
      </c>
      <c r="S68" s="316" t="s">
        <v>60</v>
      </c>
      <c r="T68" s="317"/>
      <c r="U68" s="166" t="s">
        <v>91</v>
      </c>
      <c r="V68" s="263">
        <f t="shared" ref="V68:AA68" si="8">SUM(V12:V67)</f>
        <v>0</v>
      </c>
      <c r="W68" s="105">
        <f t="shared" si="8"/>
        <v>0</v>
      </c>
      <c r="X68" s="105">
        <f t="shared" si="8"/>
        <v>0</v>
      </c>
      <c r="Y68" s="105">
        <f t="shared" si="8"/>
        <v>0</v>
      </c>
      <c r="Z68" s="105">
        <f t="shared" si="8"/>
        <v>0</v>
      </c>
      <c r="AA68" s="105">
        <f t="shared" si="8"/>
        <v>0</v>
      </c>
      <c r="AB68" s="50" t="str">
        <f>IF(W68&gt;='Request #45'!AA68,"OK","Alert,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108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167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190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119" t="e">
        <f>V72/V68</f>
        <v>#DIV/0!</v>
      </c>
      <c r="V72" s="88">
        <f>V68-V74-V73</f>
        <v>0</v>
      </c>
      <c r="W72" s="87">
        <v>0</v>
      </c>
      <c r="X72" s="88">
        <f>'Request #45'!Y72</f>
        <v>0</v>
      </c>
      <c r="Y72" s="88">
        <f t="shared" ref="Y72:Y73" si="9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S73" s="86" t="s">
        <v>95</v>
      </c>
      <c r="T73" s="114"/>
      <c r="U73" s="119" t="e">
        <f>V73/V68</f>
        <v>#DIV/0!</v>
      </c>
      <c r="V73" s="87">
        <f>'Request #45'!V73</f>
        <v>0</v>
      </c>
      <c r="W73" s="87">
        <v>0</v>
      </c>
      <c r="X73" s="88">
        <f>'Request #45'!Y73</f>
        <v>0</v>
      </c>
      <c r="Y73" s="88">
        <f t="shared" si="9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S74" s="120" t="s">
        <v>96</v>
      </c>
      <c r="T74" s="121"/>
      <c r="U74" s="119" t="e">
        <f>V74/V68</f>
        <v>#DIV/0!</v>
      </c>
      <c r="V74" s="87">
        <f>'Request #45'!V74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55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1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114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114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136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55"/>
      <c r="V80" s="55"/>
      <c r="W80" s="55"/>
      <c r="X80" s="138"/>
      <c r="Y80" s="45" t="s">
        <v>108</v>
      </c>
      <c r="Z80" s="43"/>
      <c r="AA80" s="88">
        <f>'Request #45'!AA79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46</v>
      </c>
      <c r="V87" s="55"/>
      <c r="W87" s="55"/>
      <c r="X87" s="138"/>
      <c r="Y87" s="45" t="s">
        <v>108</v>
      </c>
      <c r="Z87" s="43"/>
      <c r="AA87" s="88">
        <f>'Request #45'!AA86</f>
        <v>0</v>
      </c>
      <c r="AB87" s="110"/>
    </row>
    <row r="88" spans="1:28" ht="30" customHeight="1" thickBot="1" x14ac:dyDescent="0.35">
      <c r="S88" s="55"/>
      <c r="T88" s="55"/>
      <c r="U88" s="55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55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55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55"/>
      <c r="V91" s="55"/>
      <c r="W91" s="55"/>
      <c r="X91" s="55"/>
    </row>
    <row r="92" spans="1:28" ht="30" customHeight="1" x14ac:dyDescent="0.3">
      <c r="S92" s="55"/>
      <c r="T92" s="55"/>
      <c r="U92" s="55"/>
      <c r="V92" s="55"/>
      <c r="W92" s="55"/>
      <c r="X92" s="55"/>
    </row>
    <row r="93" spans="1:28" ht="30" customHeight="1" x14ac:dyDescent="0.3">
      <c r="S93" s="55"/>
      <c r="T93" s="55"/>
      <c r="U93" s="55"/>
      <c r="V93" s="55"/>
      <c r="W93" s="55"/>
      <c r="X93" s="55"/>
    </row>
    <row r="94" spans="1:28" ht="30" customHeight="1" x14ac:dyDescent="0.3">
      <c r="S94" s="55"/>
      <c r="T94" s="55"/>
      <c r="U94" s="55"/>
      <c r="V94" s="55"/>
      <c r="W94" s="55"/>
      <c r="X94" s="55"/>
    </row>
    <row r="95" spans="1:28" ht="30" customHeight="1" x14ac:dyDescent="0.3">
      <c r="S95" s="55"/>
      <c r="T95" s="55"/>
      <c r="U95" s="55"/>
      <c r="V95" s="55"/>
      <c r="W95" s="55"/>
      <c r="X95" s="55"/>
    </row>
    <row r="96" spans="1:28" ht="30" customHeight="1" x14ac:dyDescent="0.3">
      <c r="S96" s="55"/>
      <c r="T96" s="55"/>
      <c r="U96" s="55"/>
      <c r="V96" s="55"/>
      <c r="W96" s="55"/>
      <c r="X96" s="55"/>
    </row>
    <row r="97" spans="15:24" ht="30" customHeight="1" x14ac:dyDescent="0.3">
      <c r="S97" s="55"/>
      <c r="T97" s="55"/>
      <c r="U97" s="55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tp6S6iBt7traMaIeetQ8x6BNcHT8jDH5zjPh8uTcYNssudOhXlojM0mpOmDVsAUAuzPVzLETYZx9eEKMJctc4A==" saltValue="QRRkX5L4kyKAboyTv+vHng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6:Z86"/>
    <mergeCell ref="S68:T68"/>
    <mergeCell ref="S70:T70"/>
    <mergeCell ref="Y76:AA76"/>
    <mergeCell ref="W77:W79"/>
    <mergeCell ref="Y79:Z79"/>
    <mergeCell ref="Y83:AA83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25" priority="10" operator="containsText" text="Change">
      <formula>NOT(ISERROR(SEARCH("Change",R1)))</formula>
    </cfRule>
  </conditionalFormatting>
  <conditionalFormatting sqref="R45:R48">
    <cfRule type="cellIs" dxfId="24" priority="7" operator="equal">
      <formula>"Send in Change Order"</formula>
    </cfRule>
  </conditionalFormatting>
  <conditionalFormatting sqref="W68">
    <cfRule type="cellIs" dxfId="23" priority="2" operator="notEqual">
      <formula>$E$82</formula>
    </cfRule>
    <cfRule type="cellIs" dxfId="22" priority="3" operator="greaterThan">
      <formula>$E$82</formula>
    </cfRule>
    <cfRule type="cellIs" dxfId="21" priority="4" operator="notEqual">
      <formula>$E$82</formula>
    </cfRule>
  </conditionalFormatting>
  <conditionalFormatting sqref="Z12:Z44">
    <cfRule type="cellIs" dxfId="20" priority="8" operator="lessThan">
      <formula>0</formula>
    </cfRule>
  </conditionalFormatting>
  <conditionalFormatting sqref="Z49:Z68">
    <cfRule type="cellIs" dxfId="19" priority="5" operator="lessThan">
      <formula>0</formula>
    </cfRule>
  </conditionalFormatting>
  <conditionalFormatting sqref="AA68">
    <cfRule type="cellIs" dxfId="18" priority="1" operator="notEqual">
      <formula>$O$82</formula>
    </cfRule>
  </conditionalFormatting>
  <conditionalFormatting sqref="AB1:AB1048576">
    <cfRule type="containsText" dxfId="17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6" manualBreakCount="6">
    <brk id="6" max="1048575" man="1"/>
    <brk id="10" max="1048575" man="1"/>
    <brk id="16" max="88" man="1"/>
    <brk id="18" max="1048575" man="1"/>
    <brk id="27" max="1048575" man="1"/>
    <brk id="29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4414062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21875" style="50" customWidth="1"/>
    <col min="19" max="19" width="6.109375" style="39" customWidth="1"/>
    <col min="20" max="20" width="30.77734375" style="39" customWidth="1"/>
    <col min="21" max="21" width="17.77734375" style="39" customWidth="1"/>
    <col min="22" max="27" width="18.88671875" style="39" customWidth="1"/>
    <col min="28" max="28" width="24.3320312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53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47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53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53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195" t="s">
        <v>35</v>
      </c>
      <c r="H6" s="196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55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197">
        <f>S12</f>
        <v>1</v>
      </c>
      <c r="H7" s="198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197">
        <f t="shared" ref="G8:I23" si="0">S13</f>
        <v>2</v>
      </c>
      <c r="H8" s="198" t="str">
        <f t="shared" si="0"/>
        <v>General Contract</v>
      </c>
      <c r="I8" s="247">
        <f t="shared" si="0"/>
        <v>0</v>
      </c>
      <c r="K8" s="152"/>
      <c r="L8" s="157"/>
      <c r="M8" s="157"/>
      <c r="N8" s="154"/>
      <c r="O8" s="155"/>
      <c r="P8" s="158"/>
      <c r="S8" s="66"/>
      <c r="T8" s="67"/>
      <c r="U8" s="68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197">
        <f t="shared" si="0"/>
        <v>3</v>
      </c>
      <c r="H9" s="198" t="str">
        <f t="shared" si="0"/>
        <v>Architect Contract</v>
      </c>
      <c r="I9" s="247">
        <f t="shared" si="0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74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47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197">
        <f t="shared" si="0"/>
        <v>4</v>
      </c>
      <c r="H10" s="198" t="str">
        <f t="shared" si="0"/>
        <v>Architect Reimbursables</v>
      </c>
      <c r="I10" s="247">
        <f t="shared" si="0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197">
        <f t="shared" si="0"/>
        <v>5</v>
      </c>
      <c r="H11" s="198" t="str">
        <f t="shared" si="0"/>
        <v>Other Contracts</v>
      </c>
      <c r="I11" s="247">
        <f t="shared" si="0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80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197">
        <f t="shared" si="0"/>
        <v>6</v>
      </c>
      <c r="H12" s="198" t="str">
        <f t="shared" si="0"/>
        <v>Other Contracts</v>
      </c>
      <c r="I12" s="247">
        <f t="shared" si="0"/>
        <v>0</v>
      </c>
      <c r="K12" s="152"/>
      <c r="L12" s="157"/>
      <c r="M12" s="157"/>
      <c r="N12" s="154"/>
      <c r="O12" s="155"/>
      <c r="P12" s="158"/>
      <c r="R12" s="50" t="str">
        <f>IF(V12='Request #46'!V12,"OK","Send in Change Order")</f>
        <v>OK</v>
      </c>
      <c r="S12" s="85">
        <v>1</v>
      </c>
      <c r="T12" s="86" t="str">
        <f>'Request #35'!T12</f>
        <v>Land/Site Grading &amp; Improv.</v>
      </c>
      <c r="U12" s="218">
        <f>'Request #46'!U12</f>
        <v>0</v>
      </c>
      <c r="V12" s="87">
        <f>'Request #46'!V12</f>
        <v>0</v>
      </c>
      <c r="W12" s="88">
        <f>SUMIF(F7:F79,1,E7:E79)</f>
        <v>0</v>
      </c>
      <c r="X12" s="88">
        <f>'Request #46'!Y12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#46'!AA12,"OK","Alert,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197">
        <f t="shared" si="0"/>
        <v>7</v>
      </c>
      <c r="H13" s="198" t="str">
        <f t="shared" si="0"/>
        <v>Other Contracts</v>
      </c>
      <c r="I13" s="247">
        <f t="shared" si="0"/>
        <v>0</v>
      </c>
      <c r="K13" s="152"/>
      <c r="L13" s="157"/>
      <c r="M13" s="157"/>
      <c r="N13" s="154"/>
      <c r="O13" s="155"/>
      <c r="P13" s="158"/>
      <c r="R13" s="50" t="str">
        <f>IF(V13='Request #46'!V13,"OK","Send in Change Order")</f>
        <v>OK</v>
      </c>
      <c r="S13" s="85">
        <v>2</v>
      </c>
      <c r="T13" s="86" t="s">
        <v>122</v>
      </c>
      <c r="U13" s="218">
        <f>'Request #46'!U13</f>
        <v>0</v>
      </c>
      <c r="V13" s="87">
        <f>'Request #46'!V13</f>
        <v>0</v>
      </c>
      <c r="W13" s="88">
        <f>SUMIF(F7:F79,2,E7:E79)</f>
        <v>0</v>
      </c>
      <c r="X13" s="88">
        <f>'Request #46'!Y13</f>
        <v>0</v>
      </c>
      <c r="Y13" s="88">
        <f t="shared" ref="Y13:Y67" si="1">W13+X13</f>
        <v>0</v>
      </c>
      <c r="Z13" s="88">
        <f t="shared" ref="Z13:Z67" si="2">V13-Y13</f>
        <v>0</v>
      </c>
      <c r="AA13" s="88">
        <f>SUMIF(P7:P79,2,O7:O79)</f>
        <v>0</v>
      </c>
      <c r="AB13" s="50" t="str">
        <f>IF(W13&gt;='Request #46'!AA13,"OK","Alert,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197">
        <f t="shared" si="0"/>
        <v>8</v>
      </c>
      <c r="H14" s="198" t="str">
        <f t="shared" si="0"/>
        <v>Other Contracts</v>
      </c>
      <c r="I14" s="247">
        <f t="shared" si="0"/>
        <v>0</v>
      </c>
      <c r="K14" s="159"/>
      <c r="L14" s="157"/>
      <c r="M14" s="157"/>
      <c r="N14" s="154"/>
      <c r="O14" s="155"/>
      <c r="P14" s="158"/>
      <c r="R14" s="50" t="str">
        <f>IF(V14='Request #46'!V14,"OK","Send in Change Order")</f>
        <v>OK</v>
      </c>
      <c r="S14" s="85">
        <v>3</v>
      </c>
      <c r="T14" s="86" t="s">
        <v>123</v>
      </c>
      <c r="U14" s="218">
        <f>'Request #46'!U14</f>
        <v>0</v>
      </c>
      <c r="V14" s="87">
        <f>'Request #46'!V14</f>
        <v>0</v>
      </c>
      <c r="W14" s="88">
        <f>SUMIF(F7:F79,3,E7:E79)</f>
        <v>0</v>
      </c>
      <c r="X14" s="88">
        <f>'Request #46'!Y14</f>
        <v>0</v>
      </c>
      <c r="Y14" s="88">
        <f t="shared" si="1"/>
        <v>0</v>
      </c>
      <c r="Z14" s="88">
        <f t="shared" si="2"/>
        <v>0</v>
      </c>
      <c r="AA14" s="88">
        <f>SUMIF(P7:P79,3,O7:O79)</f>
        <v>0</v>
      </c>
      <c r="AB14" s="50" t="str">
        <f>IF(W14&gt;='Request #46'!AA14,"OK","Alert,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197">
        <f t="shared" si="0"/>
        <v>9</v>
      </c>
      <c r="H15" s="198" t="str">
        <f t="shared" si="0"/>
        <v>Other Contracts</v>
      </c>
      <c r="I15" s="247">
        <f t="shared" si="0"/>
        <v>0</v>
      </c>
      <c r="K15" s="159"/>
      <c r="L15" s="157"/>
      <c r="M15" s="157"/>
      <c r="N15" s="154"/>
      <c r="O15" s="155"/>
      <c r="P15" s="158"/>
      <c r="R15" s="50" t="str">
        <f>IF(V15='Request #46'!V15,"OK","Send in Change Order")</f>
        <v>OK</v>
      </c>
      <c r="S15" s="85">
        <v>4</v>
      </c>
      <c r="T15" s="86" t="s">
        <v>124</v>
      </c>
      <c r="U15" s="218">
        <f>'Request #46'!U15</f>
        <v>0</v>
      </c>
      <c r="V15" s="87">
        <f>'Request #46'!V15</f>
        <v>0</v>
      </c>
      <c r="W15" s="88">
        <f>SUMIF(F7:F79,4,E7:E79)</f>
        <v>0</v>
      </c>
      <c r="X15" s="88">
        <f>'Request #46'!Y15</f>
        <v>0</v>
      </c>
      <c r="Y15" s="88">
        <f t="shared" si="1"/>
        <v>0</v>
      </c>
      <c r="Z15" s="88">
        <f t="shared" si="2"/>
        <v>0</v>
      </c>
      <c r="AA15" s="88">
        <f>SUMIF(P7:P79,4,O7:O79)</f>
        <v>0</v>
      </c>
      <c r="AB15" s="50" t="str">
        <f>IF(W15&gt;='Request #46'!AA15,"OK","Alert,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197">
        <f t="shared" si="0"/>
        <v>10</v>
      </c>
      <c r="H16" s="198" t="str">
        <f t="shared" si="0"/>
        <v>Other Contracts</v>
      </c>
      <c r="I16" s="247">
        <f t="shared" si="0"/>
        <v>0</v>
      </c>
      <c r="K16" s="152"/>
      <c r="L16" s="157"/>
      <c r="M16" s="157"/>
      <c r="N16" s="154"/>
      <c r="O16" s="155"/>
      <c r="P16" s="158"/>
      <c r="R16" s="50" t="str">
        <f>IF(V16='Request #46'!V16,"OK","Send in Change Order")</f>
        <v>OK</v>
      </c>
      <c r="S16" s="85">
        <v>5</v>
      </c>
      <c r="T16" s="86" t="s">
        <v>71</v>
      </c>
      <c r="U16" s="218">
        <f>'Request #46'!U16</f>
        <v>0</v>
      </c>
      <c r="V16" s="87">
        <f>'Request #46'!V16</f>
        <v>0</v>
      </c>
      <c r="W16" s="88">
        <f>SUMIF(F7:F79,5,E7:E79)</f>
        <v>0</v>
      </c>
      <c r="X16" s="88">
        <f>'Request #46'!Y16</f>
        <v>0</v>
      </c>
      <c r="Y16" s="88">
        <f t="shared" si="1"/>
        <v>0</v>
      </c>
      <c r="Z16" s="88">
        <f t="shared" si="2"/>
        <v>0</v>
      </c>
      <c r="AA16" s="88">
        <f>SUMIF(P7:P79,5,O7:O79)</f>
        <v>0</v>
      </c>
      <c r="AB16" s="50" t="str">
        <f>IF(W16&gt;='Request #46'!AA16,"OK","Alert,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197">
        <f t="shared" si="0"/>
        <v>11</v>
      </c>
      <c r="H17" s="198" t="str">
        <f t="shared" si="0"/>
        <v>Other Contracts</v>
      </c>
      <c r="I17" s="247">
        <f t="shared" si="0"/>
        <v>0</v>
      </c>
      <c r="K17" s="152"/>
      <c r="L17" s="157"/>
      <c r="M17" s="157"/>
      <c r="N17" s="154"/>
      <c r="O17" s="155"/>
      <c r="P17" s="158"/>
      <c r="R17" s="50" t="str">
        <f>IF(V17='Request #46'!V17,"OK","Send in Change Order")</f>
        <v>OK</v>
      </c>
      <c r="S17" s="85">
        <v>6</v>
      </c>
      <c r="T17" s="86" t="s">
        <v>71</v>
      </c>
      <c r="U17" s="218">
        <f>'Request #46'!U17</f>
        <v>0</v>
      </c>
      <c r="V17" s="87">
        <f>'Request #46'!V17</f>
        <v>0</v>
      </c>
      <c r="W17" s="88">
        <f>SUMIF(F7:F79,6,E7:E79)</f>
        <v>0</v>
      </c>
      <c r="X17" s="88">
        <f>'Request #46'!Y17</f>
        <v>0</v>
      </c>
      <c r="Y17" s="88">
        <f t="shared" si="1"/>
        <v>0</v>
      </c>
      <c r="Z17" s="88">
        <f t="shared" si="2"/>
        <v>0</v>
      </c>
      <c r="AA17" s="88">
        <f>SUMIF(P7:P79,6,O7:O79)</f>
        <v>0</v>
      </c>
      <c r="AB17" s="50" t="str">
        <f>IF(W17&gt;='Request #46'!AA17,"OK","Alert,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197">
        <f t="shared" si="0"/>
        <v>12</v>
      </c>
      <c r="H18" s="198" t="str">
        <f t="shared" si="0"/>
        <v>Other Contracts</v>
      </c>
      <c r="I18" s="247">
        <f t="shared" si="0"/>
        <v>0</v>
      </c>
      <c r="K18" s="152"/>
      <c r="L18" s="157"/>
      <c r="M18" s="157"/>
      <c r="N18" s="154"/>
      <c r="O18" s="155"/>
      <c r="P18" s="158"/>
      <c r="R18" s="50" t="str">
        <f>IF(V18='Request #46'!V18,"OK","Send in Change Order")</f>
        <v>OK</v>
      </c>
      <c r="S18" s="85">
        <v>7</v>
      </c>
      <c r="T18" s="86" t="s">
        <v>71</v>
      </c>
      <c r="U18" s="218">
        <f>'Request #46'!U18</f>
        <v>0</v>
      </c>
      <c r="V18" s="87">
        <f>'Request #46'!V18</f>
        <v>0</v>
      </c>
      <c r="W18" s="88">
        <f>SUMIF(F7:F79,7,E7:E79)</f>
        <v>0</v>
      </c>
      <c r="X18" s="88">
        <f>'Request #46'!Y18</f>
        <v>0</v>
      </c>
      <c r="Y18" s="88">
        <f t="shared" si="1"/>
        <v>0</v>
      </c>
      <c r="Z18" s="88">
        <f t="shared" si="2"/>
        <v>0</v>
      </c>
      <c r="AA18" s="88">
        <f>SUMIF(P7:P79,7,O7:O79)</f>
        <v>0</v>
      </c>
      <c r="AB18" s="50" t="str">
        <f>IF(W18&gt;='Request #46'!AA18,"OK","Alert,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197">
        <f t="shared" si="0"/>
        <v>13</v>
      </c>
      <c r="H19" s="198" t="str">
        <f t="shared" si="0"/>
        <v>Other Contracts</v>
      </c>
      <c r="I19" s="247">
        <f t="shared" si="0"/>
        <v>0</v>
      </c>
      <c r="K19" s="159"/>
      <c r="L19" s="157"/>
      <c r="M19" s="157"/>
      <c r="N19" s="154"/>
      <c r="O19" s="155"/>
      <c r="P19" s="158"/>
      <c r="R19" s="50" t="str">
        <f>IF(V19='Request #46'!V19,"OK","Send in Change Order")</f>
        <v>OK</v>
      </c>
      <c r="S19" s="85">
        <v>8</v>
      </c>
      <c r="T19" s="86" t="s">
        <v>71</v>
      </c>
      <c r="U19" s="218">
        <f>'Request #46'!U19</f>
        <v>0</v>
      </c>
      <c r="V19" s="87">
        <f>'Request #46'!V19</f>
        <v>0</v>
      </c>
      <c r="W19" s="88">
        <f>SUMIF(F7:F79,8,E7:E79)</f>
        <v>0</v>
      </c>
      <c r="X19" s="88">
        <f>'Request #46'!Y19</f>
        <v>0</v>
      </c>
      <c r="Y19" s="88">
        <f t="shared" si="1"/>
        <v>0</v>
      </c>
      <c r="Z19" s="88">
        <f t="shared" si="2"/>
        <v>0</v>
      </c>
      <c r="AA19" s="88">
        <f>SUMIF(P7:P79,8,O7:O79)</f>
        <v>0</v>
      </c>
      <c r="AB19" s="50" t="str">
        <f>IF(W19&gt;='Request #46'!AA19,"OK","Alert,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197">
        <f t="shared" si="0"/>
        <v>14</v>
      </c>
      <c r="H20" s="198" t="str">
        <f t="shared" si="0"/>
        <v>Other Contracts</v>
      </c>
      <c r="I20" s="247">
        <f t="shared" si="0"/>
        <v>0</v>
      </c>
      <c r="K20" s="152"/>
      <c r="L20" s="157"/>
      <c r="M20" s="157"/>
      <c r="N20" s="154"/>
      <c r="O20" s="155"/>
      <c r="P20" s="158"/>
      <c r="R20" s="50" t="str">
        <f>IF(V20='Request #46'!V20,"OK","Send in Change Order")</f>
        <v>OK</v>
      </c>
      <c r="S20" s="85">
        <v>9</v>
      </c>
      <c r="T20" s="86" t="s">
        <v>71</v>
      </c>
      <c r="U20" s="218">
        <f>'Request #46'!U20</f>
        <v>0</v>
      </c>
      <c r="V20" s="87">
        <f>'Request #46'!V20</f>
        <v>0</v>
      </c>
      <c r="W20" s="88">
        <f>SUMIF(F7:F79,9,E7:E79)</f>
        <v>0</v>
      </c>
      <c r="X20" s="88">
        <f>'Request #46'!Y20</f>
        <v>0</v>
      </c>
      <c r="Y20" s="88">
        <f t="shared" si="1"/>
        <v>0</v>
      </c>
      <c r="Z20" s="88">
        <f t="shared" si="2"/>
        <v>0</v>
      </c>
      <c r="AA20" s="88">
        <f>SUMIF(P7:P79,9,O7:O79)</f>
        <v>0</v>
      </c>
      <c r="AB20" s="50" t="str">
        <f>IF(W20&gt;='Request #46'!AA20,"OK","Alert,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197">
        <f t="shared" si="0"/>
        <v>15</v>
      </c>
      <c r="H21" s="198" t="str">
        <f t="shared" si="0"/>
        <v>Other Contracts</v>
      </c>
      <c r="I21" s="247">
        <f t="shared" si="0"/>
        <v>0</v>
      </c>
      <c r="K21" s="159"/>
      <c r="L21" s="157"/>
      <c r="M21" s="157"/>
      <c r="N21" s="154"/>
      <c r="O21" s="155"/>
      <c r="P21" s="158"/>
      <c r="R21" s="50" t="str">
        <f>IF(V21='Request #46'!V21,"OK","Send in Change Order")</f>
        <v>OK</v>
      </c>
      <c r="S21" s="85">
        <v>10</v>
      </c>
      <c r="T21" s="86" t="s">
        <v>71</v>
      </c>
      <c r="U21" s="218">
        <f>'Request #46'!U21</f>
        <v>0</v>
      </c>
      <c r="V21" s="87">
        <f>'Request #46'!V21</f>
        <v>0</v>
      </c>
      <c r="W21" s="88">
        <f>SUMIF(F7:F79,10,E7:E79)</f>
        <v>0</v>
      </c>
      <c r="X21" s="88">
        <f>'Request #46'!Y21</f>
        <v>0</v>
      </c>
      <c r="Y21" s="88">
        <f t="shared" si="1"/>
        <v>0</v>
      </c>
      <c r="Z21" s="88">
        <f t="shared" si="2"/>
        <v>0</v>
      </c>
      <c r="AA21" s="88">
        <f>SUMIF(P7:P79,10,O7:O79)</f>
        <v>0</v>
      </c>
      <c r="AB21" s="50" t="str">
        <f>IF(W21&gt;='Request #46'!AA21,"OK","Alert,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197">
        <f t="shared" si="0"/>
        <v>16</v>
      </c>
      <c r="H22" s="198" t="str">
        <f t="shared" si="0"/>
        <v>Other Contracts</v>
      </c>
      <c r="I22" s="247">
        <f t="shared" si="0"/>
        <v>0</v>
      </c>
      <c r="K22" s="159"/>
      <c r="L22" s="157"/>
      <c r="M22" s="157"/>
      <c r="N22" s="154"/>
      <c r="O22" s="155"/>
      <c r="P22" s="158"/>
      <c r="R22" s="50" t="str">
        <f>IF(V22='Request #46'!V22,"OK","Send in Change Order")</f>
        <v>OK</v>
      </c>
      <c r="S22" s="85">
        <v>11</v>
      </c>
      <c r="T22" s="86" t="s">
        <v>71</v>
      </c>
      <c r="U22" s="218">
        <f>'Request #46'!U22</f>
        <v>0</v>
      </c>
      <c r="V22" s="87">
        <f>'Request #46'!V22</f>
        <v>0</v>
      </c>
      <c r="W22" s="88">
        <f>SUMIF(F7:F79,11,E7:E79)</f>
        <v>0</v>
      </c>
      <c r="X22" s="88">
        <f>'Request #46'!Y22</f>
        <v>0</v>
      </c>
      <c r="Y22" s="88">
        <f t="shared" si="1"/>
        <v>0</v>
      </c>
      <c r="Z22" s="88">
        <f t="shared" si="2"/>
        <v>0</v>
      </c>
      <c r="AA22" s="88">
        <f>SUMIF(P7:P79,11,O7:O79)</f>
        <v>0</v>
      </c>
      <c r="AB22" s="50" t="str">
        <f>IF(W22&gt;='Request #46'!AA22,"OK","Alert,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197">
        <f t="shared" si="0"/>
        <v>17</v>
      </c>
      <c r="H23" s="198" t="str">
        <f t="shared" si="0"/>
        <v>Other Contracts</v>
      </c>
      <c r="I23" s="247">
        <f t="shared" si="0"/>
        <v>0</v>
      </c>
      <c r="K23" s="159"/>
      <c r="L23" s="157"/>
      <c r="M23" s="157"/>
      <c r="N23" s="154"/>
      <c r="O23" s="155"/>
      <c r="P23" s="158"/>
      <c r="R23" s="50" t="str">
        <f>IF(V23='Request #46'!V23,"OK","Send in Change Order")</f>
        <v>OK</v>
      </c>
      <c r="S23" s="85">
        <v>12</v>
      </c>
      <c r="T23" s="86" t="s">
        <v>71</v>
      </c>
      <c r="U23" s="218">
        <f>'Request #46'!U23</f>
        <v>0</v>
      </c>
      <c r="V23" s="87">
        <f>'Request #46'!V23</f>
        <v>0</v>
      </c>
      <c r="W23" s="88">
        <f>SUMIF(F7:F79,12,E7:E79)</f>
        <v>0</v>
      </c>
      <c r="X23" s="88">
        <f>'Request #46'!Y23</f>
        <v>0</v>
      </c>
      <c r="Y23" s="88">
        <f t="shared" si="1"/>
        <v>0</v>
      </c>
      <c r="Z23" s="88">
        <f t="shared" si="2"/>
        <v>0</v>
      </c>
      <c r="AA23" s="88">
        <f>SUMIF(P7:P79,12,O7:O79)</f>
        <v>0</v>
      </c>
      <c r="AB23" s="50" t="str">
        <f>IF(W23&gt;='Request #46'!AA23,"OK","Alert,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197">
        <f t="shared" ref="G24:I39" si="3">S29</f>
        <v>18</v>
      </c>
      <c r="H24" s="198" t="str">
        <f t="shared" si="3"/>
        <v>Other Contracts</v>
      </c>
      <c r="I24" s="247">
        <f t="shared" si="3"/>
        <v>0</v>
      </c>
      <c r="K24" s="159"/>
      <c r="L24" s="157"/>
      <c r="M24" s="157"/>
      <c r="N24" s="154"/>
      <c r="O24" s="155"/>
      <c r="P24" s="158"/>
      <c r="R24" s="50" t="str">
        <f>IF(V24='Request #46'!V24,"OK","Send in Change Order")</f>
        <v>OK</v>
      </c>
      <c r="S24" s="85">
        <v>13</v>
      </c>
      <c r="T24" s="86" t="s">
        <v>71</v>
      </c>
      <c r="U24" s="218">
        <f>'Request #46'!U24</f>
        <v>0</v>
      </c>
      <c r="V24" s="87">
        <f>'Request #46'!V24</f>
        <v>0</v>
      </c>
      <c r="W24" s="88">
        <f>SUMIF(F7:F79,13,E7:E79)</f>
        <v>0</v>
      </c>
      <c r="X24" s="88">
        <f>'Request #46'!Y24</f>
        <v>0</v>
      </c>
      <c r="Y24" s="88">
        <f t="shared" si="1"/>
        <v>0</v>
      </c>
      <c r="Z24" s="88">
        <f t="shared" si="2"/>
        <v>0</v>
      </c>
      <c r="AA24" s="88">
        <f>SUMIF(P7:P79,13,O7:O79)</f>
        <v>0</v>
      </c>
      <c r="AB24" s="50" t="str">
        <f>IF(W24&gt;='Request #46'!AA24,"OK","Alert,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197">
        <f t="shared" si="3"/>
        <v>19</v>
      </c>
      <c r="H25" s="198" t="str">
        <f t="shared" si="3"/>
        <v>Other Contracts</v>
      </c>
      <c r="I25" s="247">
        <f t="shared" si="3"/>
        <v>0</v>
      </c>
      <c r="K25" s="159"/>
      <c r="L25" s="157"/>
      <c r="M25" s="157"/>
      <c r="N25" s="154"/>
      <c r="O25" s="155"/>
      <c r="P25" s="158"/>
      <c r="R25" s="50" t="str">
        <f>IF(V25='Request #46'!V25,"OK","Send in Change Order")</f>
        <v>OK</v>
      </c>
      <c r="S25" s="85">
        <v>14</v>
      </c>
      <c r="T25" s="86" t="s">
        <v>71</v>
      </c>
      <c r="U25" s="218">
        <f>'Request #46'!U25</f>
        <v>0</v>
      </c>
      <c r="V25" s="87">
        <f>'Request #46'!V25</f>
        <v>0</v>
      </c>
      <c r="W25" s="88">
        <f>SUMIF(F7:F79,14,E7:E79)</f>
        <v>0</v>
      </c>
      <c r="X25" s="88">
        <f>'Request #46'!Y25</f>
        <v>0</v>
      </c>
      <c r="Y25" s="88">
        <f t="shared" si="1"/>
        <v>0</v>
      </c>
      <c r="Z25" s="88">
        <f t="shared" si="2"/>
        <v>0</v>
      </c>
      <c r="AA25" s="88">
        <f>SUMIF(P7:P79,14,O7:O79)</f>
        <v>0</v>
      </c>
      <c r="AB25" s="50" t="str">
        <f>IF(W25&gt;='Request #46'!AA25,"OK","Alert,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197">
        <f t="shared" si="3"/>
        <v>20</v>
      </c>
      <c r="H26" s="198" t="str">
        <f t="shared" si="3"/>
        <v>Other Contracts</v>
      </c>
      <c r="I26" s="247">
        <f t="shared" si="3"/>
        <v>0</v>
      </c>
      <c r="K26" s="159"/>
      <c r="L26" s="157"/>
      <c r="M26" s="157"/>
      <c r="N26" s="154"/>
      <c r="O26" s="155"/>
      <c r="P26" s="158"/>
      <c r="R26" s="50" t="str">
        <f>IF(V26='Request #46'!V26,"OK","Send in Change Order")</f>
        <v>OK</v>
      </c>
      <c r="S26" s="85">
        <v>15</v>
      </c>
      <c r="T26" s="86" t="s">
        <v>71</v>
      </c>
      <c r="U26" s="218">
        <f>'Request #46'!U26</f>
        <v>0</v>
      </c>
      <c r="V26" s="87">
        <f>'Request #46'!V26</f>
        <v>0</v>
      </c>
      <c r="W26" s="88">
        <f>SUMIF(F7:F79,15,E7:E79)</f>
        <v>0</v>
      </c>
      <c r="X26" s="88">
        <f>'Request #46'!Y26</f>
        <v>0</v>
      </c>
      <c r="Y26" s="88">
        <f t="shared" si="1"/>
        <v>0</v>
      </c>
      <c r="Z26" s="88">
        <f t="shared" si="2"/>
        <v>0</v>
      </c>
      <c r="AA26" s="88">
        <f>SUMIF(P7:P79,15,O7:O79)</f>
        <v>0</v>
      </c>
      <c r="AB26" s="50" t="str">
        <f>IF(W26&gt;='Request #46'!AA26,"OK","Alert,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197">
        <f t="shared" si="3"/>
        <v>21</v>
      </c>
      <c r="H27" s="198" t="str">
        <f t="shared" si="3"/>
        <v>Other Contracts</v>
      </c>
      <c r="I27" s="247">
        <f t="shared" si="3"/>
        <v>0</v>
      </c>
      <c r="K27" s="159"/>
      <c r="L27" s="157"/>
      <c r="M27" s="157"/>
      <c r="N27" s="154"/>
      <c r="O27" s="155"/>
      <c r="P27" s="158"/>
      <c r="R27" s="50" t="str">
        <f>IF(V27='Request #46'!V27,"OK","Send in Change Order")</f>
        <v>OK</v>
      </c>
      <c r="S27" s="85">
        <v>16</v>
      </c>
      <c r="T27" s="86" t="s">
        <v>71</v>
      </c>
      <c r="U27" s="218">
        <f>'Request #46'!U27</f>
        <v>0</v>
      </c>
      <c r="V27" s="87">
        <f>'Request #46'!V27</f>
        <v>0</v>
      </c>
      <c r="W27" s="88">
        <f>SUMIF(F7:F79,16,E7:E79)</f>
        <v>0</v>
      </c>
      <c r="X27" s="88">
        <f>'Request #46'!Y27</f>
        <v>0</v>
      </c>
      <c r="Y27" s="88">
        <f t="shared" si="1"/>
        <v>0</v>
      </c>
      <c r="Z27" s="88">
        <f t="shared" si="2"/>
        <v>0</v>
      </c>
      <c r="AA27" s="88">
        <f>SUMIF(P7:P79,16,O7:O79)</f>
        <v>0</v>
      </c>
      <c r="AB27" s="50" t="str">
        <f>IF(W27&gt;='Request #46'!AA27,"OK","Alert,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197">
        <f t="shared" si="3"/>
        <v>22</v>
      </c>
      <c r="H28" s="198" t="str">
        <f t="shared" si="3"/>
        <v>Other Contracts</v>
      </c>
      <c r="I28" s="247">
        <f t="shared" si="3"/>
        <v>0</v>
      </c>
      <c r="K28" s="159"/>
      <c r="L28" s="157"/>
      <c r="M28" s="157"/>
      <c r="N28" s="154"/>
      <c r="O28" s="155"/>
      <c r="P28" s="158"/>
      <c r="R28" s="50" t="str">
        <f>IF(V28='Request #46'!V28,"OK","Send in Change Order")</f>
        <v>OK</v>
      </c>
      <c r="S28" s="85">
        <v>17</v>
      </c>
      <c r="T28" s="86" t="s">
        <v>71</v>
      </c>
      <c r="U28" s="218">
        <f>'Request #46'!U28</f>
        <v>0</v>
      </c>
      <c r="V28" s="87">
        <f>'Request #46'!V28</f>
        <v>0</v>
      </c>
      <c r="W28" s="88">
        <f>SUMIF(F7:F79,17,E7:E79)</f>
        <v>0</v>
      </c>
      <c r="X28" s="88">
        <f>'Request #46'!Y28</f>
        <v>0</v>
      </c>
      <c r="Y28" s="88">
        <f t="shared" si="1"/>
        <v>0</v>
      </c>
      <c r="Z28" s="88">
        <f t="shared" si="2"/>
        <v>0</v>
      </c>
      <c r="AA28" s="88">
        <f>SUMIF(P7:P79,17,O7:O79)</f>
        <v>0</v>
      </c>
      <c r="AB28" s="50" t="str">
        <f>IF(W28&gt;='Request #46'!AA28,"OK","Alert,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197">
        <f t="shared" si="3"/>
        <v>23</v>
      </c>
      <c r="H29" s="198" t="str">
        <f t="shared" si="3"/>
        <v>Other Contracts</v>
      </c>
      <c r="I29" s="247">
        <f t="shared" si="3"/>
        <v>0</v>
      </c>
      <c r="K29" s="159"/>
      <c r="L29" s="157"/>
      <c r="M29" s="157"/>
      <c r="N29" s="154"/>
      <c r="O29" s="155"/>
      <c r="P29" s="158"/>
      <c r="R29" s="50" t="str">
        <f>IF(V29='Request #46'!V29,"OK","Send in Change Order")</f>
        <v>OK</v>
      </c>
      <c r="S29" s="85">
        <v>18</v>
      </c>
      <c r="T29" s="86" t="s">
        <v>71</v>
      </c>
      <c r="U29" s="218">
        <f>'Request #46'!U29</f>
        <v>0</v>
      </c>
      <c r="V29" s="87">
        <f>'Request #46'!V29</f>
        <v>0</v>
      </c>
      <c r="W29" s="88">
        <f>SUMIF(F7:F79,18,E7:E79)</f>
        <v>0</v>
      </c>
      <c r="X29" s="88">
        <f>'Request #46'!Y29</f>
        <v>0</v>
      </c>
      <c r="Y29" s="88">
        <f t="shared" si="1"/>
        <v>0</v>
      </c>
      <c r="Z29" s="88">
        <f t="shared" si="2"/>
        <v>0</v>
      </c>
      <c r="AA29" s="88">
        <f>SUMIF(P7:P79,18,O7:O79)</f>
        <v>0</v>
      </c>
      <c r="AB29" s="50" t="str">
        <f>IF(W29&gt;='Request #46'!AA29,"OK","Alert,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197">
        <f t="shared" si="3"/>
        <v>24</v>
      </c>
      <c r="H30" s="198" t="str">
        <f t="shared" si="3"/>
        <v>Other Contracts</v>
      </c>
      <c r="I30" s="247">
        <f t="shared" si="3"/>
        <v>0</v>
      </c>
      <c r="K30" s="159"/>
      <c r="L30" s="157"/>
      <c r="M30" s="157"/>
      <c r="N30" s="154"/>
      <c r="O30" s="155"/>
      <c r="P30" s="158"/>
      <c r="R30" s="50" t="str">
        <f>IF(V30='Request #46'!V30,"OK","Send in Change Order")</f>
        <v>OK</v>
      </c>
      <c r="S30" s="85">
        <v>19</v>
      </c>
      <c r="T30" s="86" t="s">
        <v>71</v>
      </c>
      <c r="U30" s="218">
        <f>'Request #46'!U30</f>
        <v>0</v>
      </c>
      <c r="V30" s="87">
        <f>'Request #46'!V30</f>
        <v>0</v>
      </c>
      <c r="W30" s="88">
        <f>SUMIF(F7:F79,19,E7:E79)</f>
        <v>0</v>
      </c>
      <c r="X30" s="88">
        <f>'Request #46'!Y30</f>
        <v>0</v>
      </c>
      <c r="Y30" s="88">
        <f t="shared" si="1"/>
        <v>0</v>
      </c>
      <c r="Z30" s="88">
        <f t="shared" si="2"/>
        <v>0</v>
      </c>
      <c r="AA30" s="88">
        <f>SUMIF(P7:P79,19,O7:O79)</f>
        <v>0</v>
      </c>
      <c r="AB30" s="50" t="str">
        <f>IF(W30&gt;='Request #46'!AA30,"OK","Alert,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197">
        <f t="shared" si="3"/>
        <v>25</v>
      </c>
      <c r="H31" s="198" t="str">
        <f t="shared" si="3"/>
        <v>Other Contracts</v>
      </c>
      <c r="I31" s="247">
        <f t="shared" si="3"/>
        <v>0</v>
      </c>
      <c r="K31" s="159"/>
      <c r="L31" s="157"/>
      <c r="M31" s="157"/>
      <c r="N31" s="154"/>
      <c r="O31" s="155"/>
      <c r="P31" s="158"/>
      <c r="R31" s="50" t="str">
        <f>IF(V31='Request #46'!V31,"OK","Send in Change Order")</f>
        <v>OK</v>
      </c>
      <c r="S31" s="85">
        <v>20</v>
      </c>
      <c r="T31" s="86" t="s">
        <v>71</v>
      </c>
      <c r="U31" s="218">
        <f>'Request #46'!U31</f>
        <v>0</v>
      </c>
      <c r="V31" s="87">
        <f>'Request #46'!V31</f>
        <v>0</v>
      </c>
      <c r="W31" s="88">
        <f>SUMIF(F7:F79,20,E7:E79)</f>
        <v>0</v>
      </c>
      <c r="X31" s="88">
        <f>'Request #46'!Y31</f>
        <v>0</v>
      </c>
      <c r="Y31" s="88">
        <f t="shared" si="1"/>
        <v>0</v>
      </c>
      <c r="Z31" s="88">
        <f t="shared" si="2"/>
        <v>0</v>
      </c>
      <c r="AA31" s="88">
        <f>SUMIF(P7:P79,20,O7:O79)</f>
        <v>0</v>
      </c>
      <c r="AB31" s="50" t="str">
        <f>IF(W31&gt;='Request #46'!AA31,"OK","Alert,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197">
        <f t="shared" si="3"/>
        <v>26</v>
      </c>
      <c r="H32" s="198" t="str">
        <f t="shared" si="3"/>
        <v>Other Fees</v>
      </c>
      <c r="I32" s="247">
        <f t="shared" si="3"/>
        <v>0</v>
      </c>
      <c r="K32" s="159"/>
      <c r="L32" s="157"/>
      <c r="M32" s="157"/>
      <c r="N32" s="154"/>
      <c r="O32" s="155"/>
      <c r="P32" s="158"/>
      <c r="R32" s="50" t="str">
        <f>IF(V32='Request #46'!V32,"OK","Send in Change Order")</f>
        <v>OK</v>
      </c>
      <c r="S32" s="85">
        <v>21</v>
      </c>
      <c r="T32" s="86" t="s">
        <v>71</v>
      </c>
      <c r="U32" s="218">
        <f>'Request #46'!U32</f>
        <v>0</v>
      </c>
      <c r="V32" s="87">
        <f>'Request #46'!V32</f>
        <v>0</v>
      </c>
      <c r="W32" s="88">
        <f>SUMIF(F7:F79,21,E7:E79)</f>
        <v>0</v>
      </c>
      <c r="X32" s="88">
        <f>'Request #46'!Y32</f>
        <v>0</v>
      </c>
      <c r="Y32" s="88">
        <f t="shared" si="1"/>
        <v>0</v>
      </c>
      <c r="Z32" s="88">
        <f t="shared" si="2"/>
        <v>0</v>
      </c>
      <c r="AA32" s="88">
        <f>SUMIF(P7:P79,21,O7:O79)</f>
        <v>0</v>
      </c>
      <c r="AB32" s="50" t="str">
        <f>IF(W32&gt;='Request #46'!AA32,"OK","Alert,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197">
        <f t="shared" si="3"/>
        <v>27</v>
      </c>
      <c r="H33" s="198" t="str">
        <f t="shared" si="3"/>
        <v>Other Fees</v>
      </c>
      <c r="I33" s="247">
        <f t="shared" si="3"/>
        <v>0</v>
      </c>
      <c r="K33" s="159"/>
      <c r="L33" s="157"/>
      <c r="M33" s="157"/>
      <c r="N33" s="154"/>
      <c r="O33" s="155"/>
      <c r="P33" s="158"/>
      <c r="R33" s="50" t="str">
        <f>IF(V33='Request #46'!V33,"OK","Send in Change Order")</f>
        <v>OK</v>
      </c>
      <c r="S33" s="85">
        <v>22</v>
      </c>
      <c r="T33" s="86" t="s">
        <v>71</v>
      </c>
      <c r="U33" s="218">
        <f>'Request #46'!U33</f>
        <v>0</v>
      </c>
      <c r="V33" s="87">
        <f>'Request #46'!V33</f>
        <v>0</v>
      </c>
      <c r="W33" s="88">
        <f>SUMIF(F7:F79,22,E7:E79)</f>
        <v>0</v>
      </c>
      <c r="X33" s="88">
        <f>'Request #46'!Y33</f>
        <v>0</v>
      </c>
      <c r="Y33" s="88">
        <f t="shared" si="1"/>
        <v>0</v>
      </c>
      <c r="Z33" s="88">
        <f t="shared" si="2"/>
        <v>0</v>
      </c>
      <c r="AA33" s="88">
        <f>SUMIF(P7:P79,22,O7:O79)</f>
        <v>0</v>
      </c>
      <c r="AB33" s="50" t="str">
        <f>IF(W33&gt;='Request #46'!AA33,"OK","Alert,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197">
        <f t="shared" si="3"/>
        <v>28</v>
      </c>
      <c r="H34" s="198" t="str">
        <f t="shared" si="3"/>
        <v>Other Fees</v>
      </c>
      <c r="I34" s="247">
        <f t="shared" si="3"/>
        <v>0</v>
      </c>
      <c r="K34" s="159"/>
      <c r="L34" s="157"/>
      <c r="M34" s="157"/>
      <c r="N34" s="154"/>
      <c r="O34" s="155"/>
      <c r="P34" s="158"/>
      <c r="R34" s="50" t="str">
        <f>IF(V34='Request #46'!V34,"OK","Send in Change Order")</f>
        <v>OK</v>
      </c>
      <c r="S34" s="85">
        <v>23</v>
      </c>
      <c r="T34" s="86" t="s">
        <v>71</v>
      </c>
      <c r="U34" s="218">
        <f>'Request #46'!U34</f>
        <v>0</v>
      </c>
      <c r="V34" s="87">
        <f>'Request #46'!V34</f>
        <v>0</v>
      </c>
      <c r="W34" s="88">
        <f>SUMIF(F7:F79,23,E7:E79)</f>
        <v>0</v>
      </c>
      <c r="X34" s="88">
        <f>'Request #46'!Y34</f>
        <v>0</v>
      </c>
      <c r="Y34" s="88">
        <f t="shared" si="1"/>
        <v>0</v>
      </c>
      <c r="Z34" s="88">
        <f t="shared" si="2"/>
        <v>0</v>
      </c>
      <c r="AA34" s="88">
        <f>SUMIF(P7:P79,23,O7:O79)</f>
        <v>0</v>
      </c>
      <c r="AB34" s="50" t="str">
        <f>IF(W34&gt;='Request #46'!AA34,"OK","Alert,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197">
        <f t="shared" si="3"/>
        <v>29</v>
      </c>
      <c r="H35" s="198" t="str">
        <f t="shared" si="3"/>
        <v>Other Fees</v>
      </c>
      <c r="I35" s="247">
        <f t="shared" si="3"/>
        <v>0</v>
      </c>
      <c r="K35" s="159"/>
      <c r="L35" s="157"/>
      <c r="M35" s="157"/>
      <c r="N35" s="154"/>
      <c r="O35" s="155"/>
      <c r="P35" s="158"/>
      <c r="R35" s="50" t="str">
        <f>IF(V36='Request #46'!V36,"OK","Send in Change Order")</f>
        <v>OK</v>
      </c>
      <c r="S35" s="85">
        <v>24</v>
      </c>
      <c r="T35" s="86" t="s">
        <v>71</v>
      </c>
      <c r="U35" s="218">
        <f>'Request #46'!U35</f>
        <v>0</v>
      </c>
      <c r="V35" s="87">
        <f>'Request #46'!V35</f>
        <v>0</v>
      </c>
      <c r="W35" s="88">
        <f>SUMIF(F7:F79,24,E7:E79)</f>
        <v>0</v>
      </c>
      <c r="X35" s="88">
        <f>'Request #46'!Y35</f>
        <v>0</v>
      </c>
      <c r="Y35" s="88">
        <f t="shared" si="1"/>
        <v>0</v>
      </c>
      <c r="Z35" s="88">
        <f t="shared" si="2"/>
        <v>0</v>
      </c>
      <c r="AA35" s="88">
        <f>SUMIF(P7:P79,24,O7:O79)</f>
        <v>0</v>
      </c>
      <c r="AB35" s="50" t="str">
        <f>IF(W36&gt;='Request #46'!AA36,"OK","Alert,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197">
        <f t="shared" si="3"/>
        <v>30</v>
      </c>
      <c r="H36" s="198" t="str">
        <f t="shared" si="3"/>
        <v>Other Fees</v>
      </c>
      <c r="I36" s="247">
        <f t="shared" si="3"/>
        <v>0</v>
      </c>
      <c r="K36" s="159"/>
      <c r="L36" s="157"/>
      <c r="M36" s="157"/>
      <c r="N36" s="154"/>
      <c r="O36" s="155"/>
      <c r="P36" s="158"/>
      <c r="R36" s="50" t="str">
        <f>IF(V36='Request #46'!V36,"OK","Send in Change Order")</f>
        <v>OK</v>
      </c>
      <c r="S36" s="85">
        <v>25</v>
      </c>
      <c r="T36" s="86" t="s">
        <v>71</v>
      </c>
      <c r="U36" s="218">
        <f>'Request #46'!U36</f>
        <v>0</v>
      </c>
      <c r="V36" s="87">
        <f>'Request #46'!V36</f>
        <v>0</v>
      </c>
      <c r="W36" s="88">
        <f>SUMIF(F7:F79,25,E7:E79)</f>
        <v>0</v>
      </c>
      <c r="X36" s="88">
        <f>'Request #46'!Y36</f>
        <v>0</v>
      </c>
      <c r="Y36" s="88">
        <f t="shared" si="1"/>
        <v>0</v>
      </c>
      <c r="Z36" s="88">
        <f t="shared" si="2"/>
        <v>0</v>
      </c>
      <c r="AA36" s="88">
        <f>SUMIF(P7:P79,25,O7:O79)</f>
        <v>0</v>
      </c>
      <c r="AB36" s="50" t="str">
        <f>IF(W36&gt;='Request #46'!AA36,"OK","Alert,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197">
        <f t="shared" si="3"/>
        <v>31</v>
      </c>
      <c r="H37" s="198" t="str">
        <f t="shared" si="3"/>
        <v>Other Fees</v>
      </c>
      <c r="I37" s="247">
        <f t="shared" si="3"/>
        <v>0</v>
      </c>
      <c r="K37" s="159"/>
      <c r="L37" s="157"/>
      <c r="M37" s="157"/>
      <c r="N37" s="154"/>
      <c r="O37" s="155"/>
      <c r="P37" s="158"/>
      <c r="R37" s="50" t="str">
        <f>IF(V37='Request #46'!V37,"OK","Send in Change Order")</f>
        <v>OK</v>
      </c>
      <c r="S37" s="85">
        <v>26</v>
      </c>
      <c r="T37" s="86" t="s">
        <v>82</v>
      </c>
      <c r="U37" s="218">
        <f>'Request #46'!U37</f>
        <v>0</v>
      </c>
      <c r="V37" s="87">
        <f>'Request #46'!V37</f>
        <v>0</v>
      </c>
      <c r="W37" s="88">
        <f>SUMIF(F7:F79,26,E7:E79)</f>
        <v>0</v>
      </c>
      <c r="X37" s="88">
        <f>'Request #46'!Y37</f>
        <v>0</v>
      </c>
      <c r="Y37" s="88">
        <f t="shared" si="1"/>
        <v>0</v>
      </c>
      <c r="Z37" s="88">
        <f t="shared" si="2"/>
        <v>0</v>
      </c>
      <c r="AA37" s="88">
        <f>SUMIF(P7:P79,26,O7:O79)</f>
        <v>0</v>
      </c>
      <c r="AB37" s="50" t="str">
        <f>IF(W37&gt;='Request #46'!AA37,"OK","Alert,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197">
        <f t="shared" si="3"/>
        <v>32</v>
      </c>
      <c r="H38" s="198" t="str">
        <f t="shared" si="3"/>
        <v>Other Fees</v>
      </c>
      <c r="I38" s="247">
        <f t="shared" si="3"/>
        <v>0</v>
      </c>
      <c r="K38" s="159"/>
      <c r="L38" s="157"/>
      <c r="M38" s="157"/>
      <c r="N38" s="154"/>
      <c r="O38" s="155"/>
      <c r="P38" s="158"/>
      <c r="R38" s="50" t="str">
        <f>IF(V38='Request #46'!V38,"OK","Send in Change Order")</f>
        <v>OK</v>
      </c>
      <c r="S38" s="85">
        <v>27</v>
      </c>
      <c r="T38" s="86" t="s">
        <v>82</v>
      </c>
      <c r="U38" s="218">
        <f>'Request #46'!U38</f>
        <v>0</v>
      </c>
      <c r="V38" s="87">
        <f>'Request #46'!V38</f>
        <v>0</v>
      </c>
      <c r="W38" s="88">
        <f>SUMIF(F7:F79,27,E7:E79)</f>
        <v>0</v>
      </c>
      <c r="X38" s="88">
        <f>'Request #46'!Y38</f>
        <v>0</v>
      </c>
      <c r="Y38" s="88">
        <f t="shared" si="1"/>
        <v>0</v>
      </c>
      <c r="Z38" s="88">
        <f t="shared" si="2"/>
        <v>0</v>
      </c>
      <c r="AA38" s="88">
        <f>SUMIF(P7:P79,27,O7:O79)</f>
        <v>0</v>
      </c>
      <c r="AB38" s="50" t="str">
        <f>IF(W38&gt;='Request #46'!AA38,"OK","Alert,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197">
        <f t="shared" si="3"/>
        <v>33</v>
      </c>
      <c r="H39" s="198" t="str">
        <f t="shared" si="3"/>
        <v>Other Fees</v>
      </c>
      <c r="I39" s="247">
        <f t="shared" si="3"/>
        <v>0</v>
      </c>
      <c r="K39" s="159"/>
      <c r="L39" s="157"/>
      <c r="M39" s="157"/>
      <c r="N39" s="154"/>
      <c r="O39" s="155"/>
      <c r="P39" s="158"/>
      <c r="R39" s="50" t="str">
        <f>IF(V39='Request #46'!V39,"OK","Send in Change Order")</f>
        <v>OK</v>
      </c>
      <c r="S39" s="85">
        <v>28</v>
      </c>
      <c r="T39" s="86" t="s">
        <v>82</v>
      </c>
      <c r="U39" s="218">
        <f>'Request #46'!U39</f>
        <v>0</v>
      </c>
      <c r="V39" s="87">
        <f>'Request #46'!V39</f>
        <v>0</v>
      </c>
      <c r="W39" s="88">
        <f>SUMIF(F7:F79,28,E7:E79)</f>
        <v>0</v>
      </c>
      <c r="X39" s="88">
        <f>'Request #46'!Y39</f>
        <v>0</v>
      </c>
      <c r="Y39" s="88">
        <f t="shared" si="1"/>
        <v>0</v>
      </c>
      <c r="Z39" s="88">
        <f t="shared" si="2"/>
        <v>0</v>
      </c>
      <c r="AA39" s="88">
        <f>SUMIF(P7:P79,28,O7:O79)</f>
        <v>0</v>
      </c>
      <c r="AB39" s="50" t="str">
        <f>IF(W39&gt;='Request #46'!AA39,"OK","Alert,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197">
        <f t="shared" ref="G40:I55" si="4">S45</f>
        <v>0</v>
      </c>
      <c r="H40" s="198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#46'!V40,"OK","Send in Change Order")</f>
        <v>OK</v>
      </c>
      <c r="S40" s="85">
        <v>29</v>
      </c>
      <c r="T40" s="86" t="s">
        <v>82</v>
      </c>
      <c r="U40" s="218">
        <f>'Request #46'!U40</f>
        <v>0</v>
      </c>
      <c r="V40" s="87">
        <f>'Request #46'!V40</f>
        <v>0</v>
      </c>
      <c r="W40" s="88">
        <f>SUMIF(F7:F79,29,E7:E79)</f>
        <v>0</v>
      </c>
      <c r="X40" s="88">
        <f>'Request #46'!Y40</f>
        <v>0</v>
      </c>
      <c r="Y40" s="88">
        <f t="shared" si="1"/>
        <v>0</v>
      </c>
      <c r="Z40" s="88">
        <f t="shared" si="2"/>
        <v>0</v>
      </c>
      <c r="AA40" s="88">
        <f>SUMIF(P7:P79,29,O7:O79)</f>
        <v>0</v>
      </c>
      <c r="AB40" s="50" t="str">
        <f>IF(W40&gt;='Request #46'!AA40,"OK","Alert,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197" t="str">
        <f t="shared" si="4"/>
        <v>Cost</v>
      </c>
      <c r="H41" s="198">
        <f t="shared" si="4"/>
        <v>0</v>
      </c>
      <c r="I41" s="247">
        <f t="shared" si="4"/>
        <v>0</v>
      </c>
      <c r="K41" s="159"/>
      <c r="L41" s="157"/>
      <c r="M41" s="157"/>
      <c r="N41" s="154"/>
      <c r="O41" s="155"/>
      <c r="P41" s="158"/>
      <c r="R41" s="50" t="str">
        <f>IF(V41='Request #46'!V41,"OK","Send in Change Order")</f>
        <v>OK</v>
      </c>
      <c r="S41" s="85">
        <v>30</v>
      </c>
      <c r="T41" s="86" t="s">
        <v>82</v>
      </c>
      <c r="U41" s="218">
        <f>'Request #46'!U41</f>
        <v>0</v>
      </c>
      <c r="V41" s="87">
        <f>'Request #46'!V41</f>
        <v>0</v>
      </c>
      <c r="W41" s="88">
        <f>SUMIF(F7:F79,30,E7:E79)</f>
        <v>0</v>
      </c>
      <c r="X41" s="88">
        <f>'Request #46'!Y41</f>
        <v>0</v>
      </c>
      <c r="Y41" s="88">
        <f t="shared" si="1"/>
        <v>0</v>
      </c>
      <c r="Z41" s="88">
        <f t="shared" si="2"/>
        <v>0</v>
      </c>
      <c r="AA41" s="88">
        <f>SUMIF(P7:P79,30,O7:O79)</f>
        <v>0</v>
      </c>
      <c r="AB41" s="50" t="str">
        <f>IF(W41&gt;='Request #46'!AA41,"OK","Alert,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197" t="str">
        <f t="shared" si="4"/>
        <v>Item</v>
      </c>
      <c r="H42" s="198" t="str">
        <f t="shared" si="4"/>
        <v>Account Name</v>
      </c>
      <c r="I42" s="247">
        <f t="shared" si="4"/>
        <v>0</v>
      </c>
      <c r="K42" s="159"/>
      <c r="L42" s="157"/>
      <c r="M42" s="157"/>
      <c r="N42" s="154"/>
      <c r="O42" s="155"/>
      <c r="P42" s="158"/>
      <c r="R42" s="50" t="str">
        <f>IF(V42='Request #46'!V42,"OK","Send in Change Order")</f>
        <v>OK</v>
      </c>
      <c r="S42" s="85">
        <v>31</v>
      </c>
      <c r="T42" s="86" t="s">
        <v>82</v>
      </c>
      <c r="U42" s="218">
        <f>'Request #46'!U42</f>
        <v>0</v>
      </c>
      <c r="V42" s="87">
        <f>'Request #46'!V42</f>
        <v>0</v>
      </c>
      <c r="W42" s="88">
        <f>SUMIF(F7:F79,31,E7:E79)</f>
        <v>0</v>
      </c>
      <c r="X42" s="88">
        <f>'Request #46'!Y42</f>
        <v>0</v>
      </c>
      <c r="Y42" s="88">
        <f t="shared" si="1"/>
        <v>0</v>
      </c>
      <c r="Z42" s="88">
        <f t="shared" si="2"/>
        <v>0</v>
      </c>
      <c r="AA42" s="88">
        <f>SUMIF(P7:P79,31,O7:O79)</f>
        <v>0</v>
      </c>
      <c r="AB42" s="50" t="str">
        <f>IF(W42&gt;='Request #46'!AA42,"OK","Alert,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197">
        <f t="shared" si="4"/>
        <v>0</v>
      </c>
      <c r="H43" s="198">
        <f t="shared" si="4"/>
        <v>0</v>
      </c>
      <c r="I43" s="247">
        <f t="shared" si="4"/>
        <v>0</v>
      </c>
      <c r="K43" s="159"/>
      <c r="L43" s="157"/>
      <c r="M43" s="157"/>
      <c r="N43" s="154"/>
      <c r="O43" s="155"/>
      <c r="P43" s="158"/>
      <c r="R43" s="50" t="str">
        <f>IF(V43='Request #46'!V43,"OK","Send in Change Order")</f>
        <v>OK</v>
      </c>
      <c r="S43" s="85">
        <v>32</v>
      </c>
      <c r="T43" s="86" t="s">
        <v>82</v>
      </c>
      <c r="U43" s="218">
        <f>'Request #46'!U43</f>
        <v>0</v>
      </c>
      <c r="V43" s="87">
        <f>'Request #46'!V43</f>
        <v>0</v>
      </c>
      <c r="W43" s="88">
        <f>SUMIF(F7:F79,32,E7:E79)</f>
        <v>0</v>
      </c>
      <c r="X43" s="88">
        <f>'Request #46'!Y43</f>
        <v>0</v>
      </c>
      <c r="Y43" s="88">
        <f t="shared" si="1"/>
        <v>0</v>
      </c>
      <c r="Z43" s="88">
        <f t="shared" si="2"/>
        <v>0</v>
      </c>
      <c r="AA43" s="88">
        <f>SUMIF(P7:P79,32,O7:O79)</f>
        <v>0</v>
      </c>
      <c r="AB43" s="50" t="str">
        <f>IF(W43&gt;='Request #46'!AA43,"OK","Alert,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197">
        <f t="shared" si="4"/>
        <v>38</v>
      </c>
      <c r="H44" s="198" t="str">
        <f t="shared" si="4"/>
        <v>Other Fees</v>
      </c>
      <c r="I44" s="247">
        <f t="shared" si="4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#46'!V44,"OK","Send in Change Order")</f>
        <v>OK</v>
      </c>
      <c r="S44" s="85">
        <v>33</v>
      </c>
      <c r="T44" s="86" t="s">
        <v>82</v>
      </c>
      <c r="U44" s="218">
        <f>'Request #46'!U44</f>
        <v>0</v>
      </c>
      <c r="V44" s="87">
        <f>'Request #46'!V44</f>
        <v>0</v>
      </c>
      <c r="W44" s="88">
        <f>SUMIF(F7:F79,33,E7:E79)</f>
        <v>0</v>
      </c>
      <c r="X44" s="88">
        <f>'Request #46'!Y44</f>
        <v>0</v>
      </c>
      <c r="Y44" s="88">
        <f t="shared" si="1"/>
        <v>0</v>
      </c>
      <c r="Z44" s="88">
        <f t="shared" si="2"/>
        <v>0</v>
      </c>
      <c r="AA44" s="88">
        <f>SUMIF(P7:P79,33,O7:O79)</f>
        <v>0</v>
      </c>
      <c r="AB44" s="50" t="str">
        <f>IF(W44&gt;='Request #46'!AA44,"OK","Alert,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4"/>
        <v>39</v>
      </c>
      <c r="H45" s="205" t="str">
        <f t="shared" si="4"/>
        <v>Other Fees</v>
      </c>
      <c r="I45" s="247">
        <f t="shared" si="4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4"/>
        <v>40</v>
      </c>
      <c r="H46" s="205" t="str">
        <f t="shared" si="4"/>
        <v>Other Fees</v>
      </c>
      <c r="I46" s="247">
        <f t="shared" si="4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197">
        <f t="shared" si="4"/>
        <v>41</v>
      </c>
      <c r="H47" s="198" t="str">
        <f t="shared" si="4"/>
        <v>Other Fees</v>
      </c>
      <c r="I47" s="247">
        <f t="shared" si="4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197">
        <f t="shared" si="4"/>
        <v>42</v>
      </c>
      <c r="H48" s="198" t="str">
        <f t="shared" si="4"/>
        <v>Other Fees</v>
      </c>
      <c r="I48" s="247">
        <f t="shared" si="4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197">
        <f t="shared" si="4"/>
        <v>43</v>
      </c>
      <c r="H49" s="198" t="str">
        <f t="shared" si="4"/>
        <v>Other Fees</v>
      </c>
      <c r="I49" s="247">
        <f t="shared" si="4"/>
        <v>0</v>
      </c>
      <c r="K49" s="159"/>
      <c r="L49" s="157"/>
      <c r="M49" s="157"/>
      <c r="N49" s="154"/>
      <c r="O49" s="155"/>
      <c r="P49" s="158"/>
      <c r="R49" s="50" t="str">
        <f>IF(V49='Request #46'!V49,"OK","Send in Change Order")</f>
        <v>OK</v>
      </c>
      <c r="S49" s="85">
        <v>38</v>
      </c>
      <c r="T49" s="86" t="s">
        <v>82</v>
      </c>
      <c r="U49" s="218">
        <f>'Request #46'!U49</f>
        <v>0</v>
      </c>
      <c r="V49" s="87">
        <f>'Request #46'!V49</f>
        <v>0</v>
      </c>
      <c r="W49" s="88">
        <f>SUMIF(F7:F79,38,E7:E79)</f>
        <v>0</v>
      </c>
      <c r="X49" s="88">
        <f>'Request #46'!Y49</f>
        <v>0</v>
      </c>
      <c r="Y49" s="88">
        <f t="shared" si="1"/>
        <v>0</v>
      </c>
      <c r="Z49" s="88">
        <f t="shared" si="2"/>
        <v>0</v>
      </c>
      <c r="AA49" s="88">
        <f>SUMIF(P7:P79,38,O7:O79)</f>
        <v>0</v>
      </c>
      <c r="AB49" s="50" t="str">
        <f>IF(W49&gt;='Request #46'!AA49,"OK","Alert,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197">
        <f t="shared" si="4"/>
        <v>44</v>
      </c>
      <c r="H50" s="198" t="str">
        <f t="shared" si="4"/>
        <v>Other Fees</v>
      </c>
      <c r="I50" s="247">
        <f t="shared" si="4"/>
        <v>0</v>
      </c>
      <c r="K50" s="159"/>
      <c r="L50" s="157"/>
      <c r="M50" s="157"/>
      <c r="N50" s="154"/>
      <c r="O50" s="155"/>
      <c r="P50" s="158"/>
      <c r="R50" s="50" t="str">
        <f>IF(V50='Request #46'!V50,"OK","Send in Change Order")</f>
        <v>OK</v>
      </c>
      <c r="S50" s="85">
        <v>39</v>
      </c>
      <c r="T50" s="86" t="s">
        <v>82</v>
      </c>
      <c r="U50" s="218">
        <f>'Request #46'!U50</f>
        <v>0</v>
      </c>
      <c r="V50" s="87">
        <f>'Request #46'!V50</f>
        <v>0</v>
      </c>
      <c r="W50" s="88">
        <f>SUMIF(F7:F79,39,E7:E79)</f>
        <v>0</v>
      </c>
      <c r="X50" s="88">
        <f>'Request #46'!Y50</f>
        <v>0</v>
      </c>
      <c r="Y50" s="88">
        <f t="shared" si="1"/>
        <v>0</v>
      </c>
      <c r="Z50" s="88">
        <f t="shared" si="2"/>
        <v>0</v>
      </c>
      <c r="AA50" s="88">
        <f>SUMIF(P7:P79,39,O7:O79)</f>
        <v>0</v>
      </c>
      <c r="AB50" s="50" t="str">
        <f>IF(W50&gt;='Request #46'!AA50,"OK","Alert,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197">
        <f t="shared" si="4"/>
        <v>45</v>
      </c>
      <c r="H51" s="198" t="str">
        <f t="shared" si="4"/>
        <v>Other Fees</v>
      </c>
      <c r="I51" s="247">
        <f t="shared" si="4"/>
        <v>0</v>
      </c>
      <c r="K51" s="159"/>
      <c r="L51" s="157"/>
      <c r="M51" s="157"/>
      <c r="N51" s="154"/>
      <c r="O51" s="155"/>
      <c r="P51" s="158"/>
      <c r="R51" s="50" t="str">
        <f>IF(V51='Request #46'!V51,"OK","Send in Change Order")</f>
        <v>OK</v>
      </c>
      <c r="S51" s="85">
        <v>40</v>
      </c>
      <c r="T51" s="86" t="s">
        <v>82</v>
      </c>
      <c r="U51" s="218">
        <f>'Request #46'!U51</f>
        <v>0</v>
      </c>
      <c r="V51" s="87">
        <f>'Request #46'!V51</f>
        <v>0</v>
      </c>
      <c r="W51" s="88">
        <f>SUMIF(F7:F79,40,E7:E79)</f>
        <v>0</v>
      </c>
      <c r="X51" s="88">
        <f>'Request #46'!Y51</f>
        <v>0</v>
      </c>
      <c r="Y51" s="88">
        <f t="shared" si="1"/>
        <v>0</v>
      </c>
      <c r="Z51" s="88">
        <f t="shared" si="2"/>
        <v>0</v>
      </c>
      <c r="AA51" s="88">
        <f>SUMIF(P7:P79,40,O7:O79)</f>
        <v>0</v>
      </c>
      <c r="AB51" s="50" t="str">
        <f>IF(W51&gt;='Request #46'!AA51,"OK","Alert,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197">
        <f t="shared" si="4"/>
        <v>46</v>
      </c>
      <c r="H52" s="198" t="str">
        <f t="shared" si="4"/>
        <v>Other Fees</v>
      </c>
      <c r="I52" s="247">
        <f t="shared" si="4"/>
        <v>0</v>
      </c>
      <c r="K52" s="159"/>
      <c r="L52" s="157"/>
      <c r="M52" s="157"/>
      <c r="N52" s="154"/>
      <c r="O52" s="155"/>
      <c r="P52" s="158"/>
      <c r="R52" s="50" t="str">
        <f>IF(V52='Request #46'!V52,"OK","Send in Change Order")</f>
        <v>OK</v>
      </c>
      <c r="S52" s="85">
        <v>41</v>
      </c>
      <c r="T52" s="86" t="s">
        <v>82</v>
      </c>
      <c r="U52" s="218">
        <f>'Request #46'!U52</f>
        <v>0</v>
      </c>
      <c r="V52" s="87">
        <f>'Request #46'!V52</f>
        <v>0</v>
      </c>
      <c r="W52" s="88">
        <f>SUMIF(F7:F79,41,E7:E79)</f>
        <v>0</v>
      </c>
      <c r="X52" s="88">
        <f>'Request #46'!Y52</f>
        <v>0</v>
      </c>
      <c r="Y52" s="88">
        <f t="shared" si="1"/>
        <v>0</v>
      </c>
      <c r="Z52" s="88">
        <f t="shared" si="2"/>
        <v>0</v>
      </c>
      <c r="AA52" s="88">
        <f>SUMIF(P7:P79,41,O7:O79)</f>
        <v>0</v>
      </c>
      <c r="AB52" s="50" t="str">
        <f>IF(W52&gt;='Request #46'!AA52,"OK","Alert,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197">
        <f t="shared" si="4"/>
        <v>47</v>
      </c>
      <c r="H53" s="198" t="str">
        <f t="shared" si="4"/>
        <v>Other Fees</v>
      </c>
      <c r="I53" s="247">
        <f t="shared" si="4"/>
        <v>0</v>
      </c>
      <c r="K53" s="159"/>
      <c r="L53" s="157"/>
      <c r="M53" s="157"/>
      <c r="N53" s="154"/>
      <c r="O53" s="155"/>
      <c r="P53" s="158"/>
      <c r="R53" s="50" t="str">
        <f>IF(V53='Request #46'!V53,"OK","Send in Change Order")</f>
        <v>OK</v>
      </c>
      <c r="S53" s="85">
        <v>42</v>
      </c>
      <c r="T53" s="86" t="s">
        <v>82</v>
      </c>
      <c r="U53" s="218">
        <f>'Request #46'!U53</f>
        <v>0</v>
      </c>
      <c r="V53" s="87">
        <f>'Request #46'!V53</f>
        <v>0</v>
      </c>
      <c r="W53" s="88">
        <f>SUMIF(F7:F79,42,E7:E79)</f>
        <v>0</v>
      </c>
      <c r="X53" s="88">
        <f>'Request #46'!Y53</f>
        <v>0</v>
      </c>
      <c r="Y53" s="88">
        <f t="shared" si="1"/>
        <v>0</v>
      </c>
      <c r="Z53" s="88">
        <f t="shared" si="2"/>
        <v>0</v>
      </c>
      <c r="AA53" s="88">
        <f>SUMIF(P7:P79,42,O7:O79)</f>
        <v>0</v>
      </c>
      <c r="AB53" s="50" t="str">
        <f>IF(W53&gt;='Request #46'!AA53,"OK","Alert,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197">
        <f t="shared" si="4"/>
        <v>48</v>
      </c>
      <c r="H54" s="198" t="str">
        <f t="shared" si="4"/>
        <v>Other Fees</v>
      </c>
      <c r="I54" s="247">
        <f t="shared" si="4"/>
        <v>0</v>
      </c>
      <c r="K54" s="159"/>
      <c r="L54" s="157"/>
      <c r="M54" s="157"/>
      <c r="N54" s="154"/>
      <c r="O54" s="155"/>
      <c r="P54" s="158"/>
      <c r="R54" s="50" t="str">
        <f>IF(V54='Request #46'!V54,"OK","Send in Change Order")</f>
        <v>OK</v>
      </c>
      <c r="S54" s="85">
        <v>43</v>
      </c>
      <c r="T54" s="86" t="s">
        <v>82</v>
      </c>
      <c r="U54" s="218">
        <f>'Request #46'!U54</f>
        <v>0</v>
      </c>
      <c r="V54" s="87">
        <f>'Request #46'!V54</f>
        <v>0</v>
      </c>
      <c r="W54" s="88">
        <f>SUMIF(F7:F79,43,E7:E79)</f>
        <v>0</v>
      </c>
      <c r="X54" s="88">
        <f>'Request #46'!Y54</f>
        <v>0</v>
      </c>
      <c r="Y54" s="88">
        <f t="shared" si="1"/>
        <v>0</v>
      </c>
      <c r="Z54" s="88">
        <f t="shared" si="2"/>
        <v>0</v>
      </c>
      <c r="AA54" s="88">
        <f>SUMIF(P7:P79,43,O7:O79)</f>
        <v>0</v>
      </c>
      <c r="AB54" s="50" t="str">
        <f>IF(W54&gt;='Request #46'!AA54,"OK","Alert,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197">
        <f t="shared" si="4"/>
        <v>49</v>
      </c>
      <c r="H55" s="198" t="str">
        <f t="shared" si="4"/>
        <v>Other Fees</v>
      </c>
      <c r="I55" s="247">
        <f t="shared" si="4"/>
        <v>0</v>
      </c>
      <c r="K55" s="159"/>
      <c r="L55" s="157"/>
      <c r="M55" s="157"/>
      <c r="N55" s="154"/>
      <c r="O55" s="155"/>
      <c r="P55" s="158"/>
      <c r="R55" s="50" t="str">
        <f>IF(V55='Request #46'!V55,"OK","Send in Change Order")</f>
        <v>OK</v>
      </c>
      <c r="S55" s="85">
        <v>44</v>
      </c>
      <c r="T55" s="86" t="s">
        <v>82</v>
      </c>
      <c r="U55" s="218">
        <f>'Request #46'!U55</f>
        <v>0</v>
      </c>
      <c r="V55" s="87">
        <f>'Request #46'!V55</f>
        <v>0</v>
      </c>
      <c r="W55" s="88">
        <f>SUMIF(F7:F79,44,E7:E79)</f>
        <v>0</v>
      </c>
      <c r="X55" s="88">
        <f>'Request #46'!Y55</f>
        <v>0</v>
      </c>
      <c r="Y55" s="88">
        <f t="shared" si="1"/>
        <v>0</v>
      </c>
      <c r="Z55" s="88">
        <f t="shared" si="2"/>
        <v>0</v>
      </c>
      <c r="AA55" s="88">
        <f>SUMIF(P7:P79,44,O7:O79)</f>
        <v>0</v>
      </c>
      <c r="AB55" s="50" t="str">
        <f>IF(W55&gt;='Request #46'!AA55,"OK","Alert,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197">
        <f t="shared" ref="G56:I62" si="5">S61</f>
        <v>50</v>
      </c>
      <c r="H56" s="198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#46'!V56,"OK","Send in Change Order")</f>
        <v>OK</v>
      </c>
      <c r="S56" s="85">
        <v>45</v>
      </c>
      <c r="T56" s="86" t="s">
        <v>82</v>
      </c>
      <c r="U56" s="218">
        <f>'Request #46'!U56</f>
        <v>0</v>
      </c>
      <c r="V56" s="87">
        <f>'Request #46'!V56</f>
        <v>0</v>
      </c>
      <c r="W56" s="88">
        <f>SUMIF(F7:F79,45,E7:E79)</f>
        <v>0</v>
      </c>
      <c r="X56" s="88">
        <f>'Request #46'!Y56</f>
        <v>0</v>
      </c>
      <c r="Y56" s="88">
        <f t="shared" si="1"/>
        <v>0</v>
      </c>
      <c r="Z56" s="88">
        <f t="shared" si="2"/>
        <v>0</v>
      </c>
      <c r="AA56" s="88">
        <f>SUMIF(P7:P79,45,O7:O79)</f>
        <v>0</v>
      </c>
      <c r="AB56" s="50" t="str">
        <f>IF(W56&gt;='Request #46'!AA56,"OK","Alert,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197">
        <f t="shared" si="5"/>
        <v>51</v>
      </c>
      <c r="H57" s="198" t="str">
        <f t="shared" si="5"/>
        <v>Other Fees</v>
      </c>
      <c r="I57" s="247">
        <f t="shared" si="5"/>
        <v>0</v>
      </c>
      <c r="K57" s="159"/>
      <c r="L57" s="157"/>
      <c r="M57" s="157"/>
      <c r="N57" s="154"/>
      <c r="O57" s="155"/>
      <c r="P57" s="158"/>
      <c r="R57" s="50" t="str">
        <f>IF(V57='Request #46'!V57,"OK","Send in Change Order")</f>
        <v>OK</v>
      </c>
      <c r="S57" s="85">
        <v>46</v>
      </c>
      <c r="T57" s="86" t="s">
        <v>82</v>
      </c>
      <c r="U57" s="218">
        <f>'Request #46'!U57</f>
        <v>0</v>
      </c>
      <c r="V57" s="87">
        <f>'Request #46'!V57</f>
        <v>0</v>
      </c>
      <c r="W57" s="88">
        <f>SUMIF(F7:F79,46,E7:E79)</f>
        <v>0</v>
      </c>
      <c r="X57" s="88">
        <f>'Request #46'!Y57</f>
        <v>0</v>
      </c>
      <c r="Y57" s="88">
        <f t="shared" si="1"/>
        <v>0</v>
      </c>
      <c r="Z57" s="88">
        <f t="shared" si="2"/>
        <v>0</v>
      </c>
      <c r="AA57" s="88">
        <f>SUMIF(P7:P79,46,O7:O79)</f>
        <v>0</v>
      </c>
      <c r="AB57" s="50" t="str">
        <f>IF(W57&gt;='Request #46'!AA57,"OK","Alert,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197">
        <f t="shared" si="5"/>
        <v>52</v>
      </c>
      <c r="H58" s="198" t="str">
        <f t="shared" si="5"/>
        <v>Worked Performed by Owner</v>
      </c>
      <c r="I58" s="247">
        <f t="shared" si="5"/>
        <v>0</v>
      </c>
      <c r="K58" s="159"/>
      <c r="L58" s="157"/>
      <c r="M58" s="157"/>
      <c r="N58" s="154"/>
      <c r="O58" s="155"/>
      <c r="P58" s="158"/>
      <c r="R58" s="50" t="str">
        <f>IF(V58='Request #46'!V58,"OK","Send in Change Order")</f>
        <v>OK</v>
      </c>
      <c r="S58" s="85">
        <v>47</v>
      </c>
      <c r="T58" s="86" t="s">
        <v>82</v>
      </c>
      <c r="U58" s="218">
        <f>'Request #46'!U58</f>
        <v>0</v>
      </c>
      <c r="V58" s="87">
        <f>'Request #46'!V58</f>
        <v>0</v>
      </c>
      <c r="W58" s="88">
        <f>SUMIF(F7:F79,47,E7:E79)</f>
        <v>0</v>
      </c>
      <c r="X58" s="88">
        <f>'Request #46'!Y58</f>
        <v>0</v>
      </c>
      <c r="Y58" s="88">
        <f t="shared" si="1"/>
        <v>0</v>
      </c>
      <c r="Z58" s="88">
        <f t="shared" si="2"/>
        <v>0</v>
      </c>
      <c r="AA58" s="88">
        <f>SUMIF(P7:P79,47,O7:O79)</f>
        <v>0</v>
      </c>
      <c r="AB58" s="50" t="str">
        <f>IF(W58&gt;='Request #46'!AA58,"OK","Alert,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197">
        <f t="shared" si="5"/>
        <v>53</v>
      </c>
      <c r="H59" s="198" t="str">
        <f t="shared" si="5"/>
        <v>Equipment (Major)</v>
      </c>
      <c r="I59" s="247">
        <f t="shared" si="5"/>
        <v>0</v>
      </c>
      <c r="K59" s="159"/>
      <c r="L59" s="157"/>
      <c r="M59" s="157"/>
      <c r="N59" s="154"/>
      <c r="O59" s="155"/>
      <c r="P59" s="158"/>
      <c r="R59" s="50" t="str">
        <f>IF(V59='Request #46'!V59,"OK","Send in Change Order")</f>
        <v>OK</v>
      </c>
      <c r="S59" s="85">
        <v>48</v>
      </c>
      <c r="T59" s="86" t="s">
        <v>82</v>
      </c>
      <c r="U59" s="218">
        <f>'Request #46'!U59</f>
        <v>0</v>
      </c>
      <c r="V59" s="87">
        <f>'Request #46'!V59</f>
        <v>0</v>
      </c>
      <c r="W59" s="88">
        <f>SUMIF(F7:F79,48,E7:E79)</f>
        <v>0</v>
      </c>
      <c r="X59" s="88">
        <f>'Request #46'!Y59</f>
        <v>0</v>
      </c>
      <c r="Y59" s="88">
        <f t="shared" si="1"/>
        <v>0</v>
      </c>
      <c r="Z59" s="88">
        <f t="shared" si="2"/>
        <v>0</v>
      </c>
      <c r="AA59" s="88">
        <f>SUMIF(P7:P79,48,O7:O79)</f>
        <v>0</v>
      </c>
      <c r="AB59" s="50" t="str">
        <f>IF(W59&gt;='Request #46'!AA59,"OK","Alert,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197">
        <f t="shared" si="5"/>
        <v>54</v>
      </c>
      <c r="H60" s="198" t="str">
        <f t="shared" si="5"/>
        <v>Contingency Fund</v>
      </c>
      <c r="I60" s="247">
        <f t="shared" si="5"/>
        <v>0</v>
      </c>
      <c r="K60" s="159"/>
      <c r="L60" s="157"/>
      <c r="M60" s="157"/>
      <c r="N60" s="154"/>
      <c r="O60" s="155"/>
      <c r="P60" s="158"/>
      <c r="R60" s="50" t="str">
        <f>IF(V60='Request #46'!V60,"OK","Send in Change Order")</f>
        <v>OK</v>
      </c>
      <c r="S60" s="85">
        <v>49</v>
      </c>
      <c r="T60" s="86" t="s">
        <v>82</v>
      </c>
      <c r="U60" s="218">
        <f>'Request #46'!U60</f>
        <v>0</v>
      </c>
      <c r="V60" s="87">
        <f>'Request #46'!V60</f>
        <v>0</v>
      </c>
      <c r="W60" s="88">
        <f>SUMIF(F7:F79,49,E7:E79)</f>
        <v>0</v>
      </c>
      <c r="X60" s="88">
        <f>'Request #46'!Y60</f>
        <v>0</v>
      </c>
      <c r="Y60" s="88">
        <f t="shared" si="1"/>
        <v>0</v>
      </c>
      <c r="Z60" s="88">
        <f t="shared" si="2"/>
        <v>0</v>
      </c>
      <c r="AA60" s="88">
        <f>SUMIF(P7:P79,49,O7:O79)</f>
        <v>0</v>
      </c>
      <c r="AB60" s="50" t="str">
        <f>IF(W60&gt;='Request #46'!AA60,"OK","Alert,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197">
        <f t="shared" si="5"/>
        <v>55</v>
      </c>
      <c r="H61" s="198">
        <f t="shared" si="5"/>
        <v>0</v>
      </c>
      <c r="I61" s="247">
        <f t="shared" si="5"/>
        <v>0</v>
      </c>
      <c r="K61" s="159"/>
      <c r="L61" s="157"/>
      <c r="M61" s="157"/>
      <c r="N61" s="154"/>
      <c r="O61" s="155"/>
      <c r="P61" s="158"/>
      <c r="R61" s="50" t="str">
        <f>IF(V61='Request #46'!V61,"OK","Send in Change Order")</f>
        <v>OK</v>
      </c>
      <c r="S61" s="85">
        <v>50</v>
      </c>
      <c r="T61" s="86" t="s">
        <v>82</v>
      </c>
      <c r="U61" s="218">
        <f>'Request #46'!U61</f>
        <v>0</v>
      </c>
      <c r="V61" s="87">
        <f>'Request #46'!V61</f>
        <v>0</v>
      </c>
      <c r="W61" s="88">
        <f>SUMIF(F7:F79,50,E7:E79)</f>
        <v>0</v>
      </c>
      <c r="X61" s="88">
        <f>'Request #46'!Y61</f>
        <v>0</v>
      </c>
      <c r="Y61" s="88">
        <f t="shared" si="1"/>
        <v>0</v>
      </c>
      <c r="Z61" s="88">
        <f t="shared" si="2"/>
        <v>0</v>
      </c>
      <c r="AA61" s="88">
        <f>SUMIF(P7:P79,50,O7:O79)</f>
        <v>0</v>
      </c>
      <c r="AB61" s="50" t="str">
        <f>IF(W61&gt;='Request #46'!AA61,"OK","Alert,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197">
        <f t="shared" si="5"/>
        <v>56</v>
      </c>
      <c r="H62" s="198">
        <f t="shared" si="5"/>
        <v>0</v>
      </c>
      <c r="I62" s="247">
        <f t="shared" si="5"/>
        <v>0</v>
      </c>
      <c r="K62" s="159"/>
      <c r="L62" s="157"/>
      <c r="M62" s="157"/>
      <c r="N62" s="154"/>
      <c r="O62" s="155"/>
      <c r="P62" s="158"/>
      <c r="R62" s="50" t="str">
        <f>IF(V62='Request #46'!V62,"OK","Send in Change Order")</f>
        <v>OK</v>
      </c>
      <c r="S62" s="85">
        <v>51</v>
      </c>
      <c r="T62" s="86" t="s">
        <v>82</v>
      </c>
      <c r="U62" s="218">
        <f>'Request #46'!U62</f>
        <v>0</v>
      </c>
      <c r="V62" s="87">
        <f>'Request #46'!V62</f>
        <v>0</v>
      </c>
      <c r="W62" s="88">
        <f>SUMIF(F7:F79,51,E7:E79)</f>
        <v>0</v>
      </c>
      <c r="X62" s="88">
        <f>'Request #46'!Y62</f>
        <v>0</v>
      </c>
      <c r="Y62" s="88">
        <f t="shared" si="1"/>
        <v>0</v>
      </c>
      <c r="Z62" s="88">
        <f t="shared" si="2"/>
        <v>0</v>
      </c>
      <c r="AA62" s="88">
        <f>SUMIF(P7:P79,51,O7:O79)</f>
        <v>0</v>
      </c>
      <c r="AB62" s="50" t="str">
        <f>IF(W62&gt;='Request #46'!AA62,"OK","Alert,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#46'!V63,"OK","Send in Change Order")</f>
        <v>OK</v>
      </c>
      <c r="S63" s="85">
        <v>52</v>
      </c>
      <c r="T63" s="86" t="s">
        <v>88</v>
      </c>
      <c r="U63" s="218">
        <f>'Request #46'!U63</f>
        <v>0</v>
      </c>
      <c r="V63" s="87">
        <f>'Request #46'!V63</f>
        <v>0</v>
      </c>
      <c r="W63" s="88">
        <f>SUMIF(F7:F79,52,E7:E79)</f>
        <v>0</v>
      </c>
      <c r="X63" s="88">
        <f>'Request #46'!Y63</f>
        <v>0</v>
      </c>
      <c r="Y63" s="88">
        <f t="shared" si="1"/>
        <v>0</v>
      </c>
      <c r="Z63" s="88">
        <f t="shared" si="2"/>
        <v>0</v>
      </c>
      <c r="AA63" s="88">
        <f>SUMIF(P7:P79,52,O7:O79)</f>
        <v>0</v>
      </c>
      <c r="AB63" s="50" t="str">
        <f>IF(W63&gt;='Request #46'!AA63,"OK","Alert,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#46'!V64,"OK","Send in Change Order")</f>
        <v>OK</v>
      </c>
      <c r="S64" s="85">
        <v>53</v>
      </c>
      <c r="T64" s="86" t="s">
        <v>89</v>
      </c>
      <c r="U64" s="218">
        <f>'Request #46'!U64</f>
        <v>0</v>
      </c>
      <c r="V64" s="87">
        <f>'Request #46'!V64</f>
        <v>0</v>
      </c>
      <c r="W64" s="88">
        <f>SUMIF(F7:F79,53,E7:E79)</f>
        <v>0</v>
      </c>
      <c r="X64" s="88">
        <f>'Request #46'!Y64</f>
        <v>0</v>
      </c>
      <c r="Y64" s="88">
        <f t="shared" si="1"/>
        <v>0</v>
      </c>
      <c r="Z64" s="88">
        <f t="shared" si="2"/>
        <v>0</v>
      </c>
      <c r="AA64" s="88">
        <f>SUMIF(P7:P79,53,O7:O79)</f>
        <v>0</v>
      </c>
      <c r="AB64" s="50" t="str">
        <f>IF(W64&gt;='Request #46'!AA64,"OK","Alert,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#46'!V65,"OK","Send in Change Order")</f>
        <v>OK</v>
      </c>
      <c r="S65" s="85">
        <v>54</v>
      </c>
      <c r="T65" s="102" t="s">
        <v>90</v>
      </c>
      <c r="U65" s="218">
        <f>'Request #46'!U65</f>
        <v>0</v>
      </c>
      <c r="V65" s="87">
        <f>'Request #46'!V65</f>
        <v>0</v>
      </c>
      <c r="W65" s="104"/>
      <c r="X65" s="88">
        <f>'Request #46'!Y65</f>
        <v>0</v>
      </c>
      <c r="Y65" s="88">
        <f t="shared" si="1"/>
        <v>0</v>
      </c>
      <c r="Z65" s="88">
        <f t="shared" si="2"/>
        <v>0</v>
      </c>
      <c r="AA65" s="104"/>
      <c r="AB65" s="50" t="str">
        <f>IF(W65&gt;='Request #46'!AA65,"OK","Alert,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#46'!V66,"OK","Send in Change Order")</f>
        <v>OK</v>
      </c>
      <c r="S66" s="85">
        <v>55</v>
      </c>
      <c r="T66" s="86"/>
      <c r="U66" s="218">
        <f>'Request #46'!U66</f>
        <v>0</v>
      </c>
      <c r="V66" s="87">
        <f>'Request #46'!V66</f>
        <v>0</v>
      </c>
      <c r="W66" s="88">
        <f>SUMIF(F7:F79,55,E7:E79)</f>
        <v>0</v>
      </c>
      <c r="X66" s="88">
        <f>'Request #46'!Y66</f>
        <v>0</v>
      </c>
      <c r="Y66" s="88">
        <f t="shared" si="1"/>
        <v>0</v>
      </c>
      <c r="Z66" s="88">
        <f t="shared" si="2"/>
        <v>0</v>
      </c>
      <c r="AA66" s="88">
        <f>SUMIF(P7:P79,55,O7:O79)</f>
        <v>0</v>
      </c>
      <c r="AB66" s="50" t="str">
        <f>IF(W66&gt;='Request #46'!AA66,"OK","Alert,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#46'!V67,"OK","Send in Change Order")</f>
        <v>OK</v>
      </c>
      <c r="S67" s="85">
        <v>56</v>
      </c>
      <c r="T67" s="79"/>
      <c r="U67" s="218">
        <f>'Request #46'!U67</f>
        <v>0</v>
      </c>
      <c r="V67" s="87">
        <f>'Request #46'!V67</f>
        <v>0</v>
      </c>
      <c r="W67" s="88">
        <f>SUMIF(F7:F79,56,E7:E79)</f>
        <v>0</v>
      </c>
      <c r="X67" s="88">
        <f>'Request #46'!Y67</f>
        <v>0</v>
      </c>
      <c r="Y67" s="88">
        <f t="shared" si="1"/>
        <v>0</v>
      </c>
      <c r="Z67" s="88">
        <f t="shared" si="2"/>
        <v>0</v>
      </c>
      <c r="AA67" s="88">
        <f>SUMIF(P7:P79,56,O7:O79)</f>
        <v>0</v>
      </c>
      <c r="AB67" s="50" t="str">
        <f>IF(W67&gt;='Request #46'!AA67,"OK","Alert,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#46'!V68,"OK","Send in Change Order")</f>
        <v>OK</v>
      </c>
      <c r="S68" s="316" t="s">
        <v>60</v>
      </c>
      <c r="T68" s="317"/>
      <c r="U68" s="166" t="s">
        <v>91</v>
      </c>
      <c r="V68" s="263">
        <f t="shared" ref="V68:AA68" si="6">SUM(V12:V67)</f>
        <v>0</v>
      </c>
      <c r="W68" s="105">
        <f t="shared" si="6"/>
        <v>0</v>
      </c>
      <c r="X68" s="105">
        <f t="shared" si="6"/>
        <v>0</v>
      </c>
      <c r="Y68" s="105">
        <f t="shared" si="6"/>
        <v>0</v>
      </c>
      <c r="Z68" s="105">
        <f t="shared" si="6"/>
        <v>0</v>
      </c>
      <c r="AA68" s="105">
        <f t="shared" si="6"/>
        <v>0</v>
      </c>
      <c r="AB68" s="50" t="str">
        <f>IF(W68&gt;='Request #46'!AA68,"OK","Alert,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108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167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190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119" t="e">
        <f>V72/V68</f>
        <v>#DIV/0!</v>
      </c>
      <c r="V72" s="88">
        <f>V68-V74-V73</f>
        <v>0</v>
      </c>
      <c r="W72" s="87">
        <v>0</v>
      </c>
      <c r="X72" s="88">
        <f>'Request #46'!Y72</f>
        <v>0</v>
      </c>
      <c r="Y72" s="88">
        <f t="shared" ref="Y72:Y73" si="7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S73" s="86" t="s">
        <v>95</v>
      </c>
      <c r="T73" s="114"/>
      <c r="U73" s="119" t="e">
        <f>V73/V68</f>
        <v>#DIV/0!</v>
      </c>
      <c r="V73" s="87">
        <f>'Request #46'!V73</f>
        <v>0</v>
      </c>
      <c r="W73" s="87">
        <v>0</v>
      </c>
      <c r="X73" s="88">
        <f>'Request #46'!Y73</f>
        <v>0</v>
      </c>
      <c r="Y73" s="88">
        <f t="shared" si="7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S74" s="120" t="s">
        <v>96</v>
      </c>
      <c r="T74" s="121"/>
      <c r="U74" s="119" t="e">
        <f>V74/V68</f>
        <v>#DIV/0!</v>
      </c>
      <c r="V74" s="87">
        <f>'Request #46'!V74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55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1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114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114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136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55"/>
      <c r="V80" s="55"/>
      <c r="W80" s="55"/>
      <c r="X80" s="138"/>
      <c r="Y80" s="45" t="s">
        <v>108</v>
      </c>
      <c r="Z80" s="43"/>
      <c r="AA80" s="88">
        <f>'Request #46'!AA79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47</v>
      </c>
      <c r="V87" s="55"/>
      <c r="W87" s="55"/>
      <c r="X87" s="138"/>
      <c r="Y87" s="45" t="s">
        <v>108</v>
      </c>
      <c r="Z87" s="43"/>
      <c r="AA87" s="88">
        <f>'Request #46'!AA86</f>
        <v>0</v>
      </c>
      <c r="AB87" s="110"/>
    </row>
    <row r="88" spans="1:28" ht="30" customHeight="1" thickBot="1" x14ac:dyDescent="0.35">
      <c r="S88" s="55"/>
      <c r="T88" s="55"/>
      <c r="U88" s="55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55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55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55"/>
      <c r="V91" s="55"/>
      <c r="W91" s="55"/>
      <c r="X91" s="55"/>
    </row>
    <row r="92" spans="1:28" ht="30" customHeight="1" x14ac:dyDescent="0.3">
      <c r="S92" s="55"/>
      <c r="T92" s="55"/>
      <c r="U92" s="55"/>
      <c r="V92" s="55"/>
      <c r="W92" s="55"/>
      <c r="X92" s="55"/>
    </row>
    <row r="93" spans="1:28" ht="30" customHeight="1" x14ac:dyDescent="0.3">
      <c r="S93" s="55"/>
      <c r="T93" s="55"/>
      <c r="U93" s="55"/>
      <c r="V93" s="55"/>
      <c r="W93" s="55"/>
      <c r="X93" s="55"/>
    </row>
    <row r="94" spans="1:28" ht="30" customHeight="1" x14ac:dyDescent="0.3">
      <c r="S94" s="55"/>
      <c r="T94" s="55"/>
      <c r="U94" s="55"/>
      <c r="V94" s="55"/>
      <c r="W94" s="55"/>
      <c r="X94" s="55"/>
    </row>
    <row r="95" spans="1:28" ht="30" customHeight="1" x14ac:dyDescent="0.3">
      <c r="S95" s="55"/>
      <c r="T95" s="55"/>
      <c r="U95" s="55"/>
      <c r="V95" s="55"/>
      <c r="W95" s="55"/>
      <c r="X95" s="55"/>
    </row>
    <row r="96" spans="1:28" ht="30" customHeight="1" x14ac:dyDescent="0.3">
      <c r="S96" s="55"/>
      <c r="T96" s="55"/>
      <c r="U96" s="55"/>
      <c r="V96" s="55"/>
      <c r="W96" s="55"/>
      <c r="X96" s="55"/>
    </row>
    <row r="97" spans="15:24" ht="30" customHeight="1" x14ac:dyDescent="0.3">
      <c r="S97" s="55"/>
      <c r="T97" s="55"/>
      <c r="U97" s="55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B9X9oscE0tNYdlhVedcQQ9Wz81iGN4brb2/5znSWOfbyZBAKHTyk9PJPqH3f6QSg5q6ejTa68h+Gx8SJlsnMwQ==" saltValue="ooLb7yd4FMftEAR0gon7Bg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6:Z86"/>
    <mergeCell ref="S68:T68"/>
    <mergeCell ref="S70:T70"/>
    <mergeCell ref="Y76:AA76"/>
    <mergeCell ref="W77:W79"/>
    <mergeCell ref="Y79:Z79"/>
    <mergeCell ref="Y83:AA83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16" priority="10" operator="containsText" text="Change">
      <formula>NOT(ISERROR(SEARCH("Change",R1)))</formula>
    </cfRule>
  </conditionalFormatting>
  <conditionalFormatting sqref="R45:R48">
    <cfRule type="cellIs" dxfId="15" priority="7" operator="equal">
      <formula>"Send in Change Order"</formula>
    </cfRule>
  </conditionalFormatting>
  <conditionalFormatting sqref="W68">
    <cfRule type="cellIs" dxfId="14" priority="2" operator="notEqual">
      <formula>$E$82</formula>
    </cfRule>
    <cfRule type="cellIs" dxfId="13" priority="3" operator="greaterThan">
      <formula>$E$82</formula>
    </cfRule>
    <cfRule type="cellIs" dxfId="12" priority="4" operator="notEqual">
      <formula>$E$82</formula>
    </cfRule>
  </conditionalFormatting>
  <conditionalFormatting sqref="Z12:Z44">
    <cfRule type="cellIs" dxfId="11" priority="8" operator="lessThan">
      <formula>0</formula>
    </cfRule>
  </conditionalFormatting>
  <conditionalFormatting sqref="Z49:Z68">
    <cfRule type="cellIs" dxfId="10" priority="5" operator="lessThan">
      <formula>0</formula>
    </cfRule>
  </conditionalFormatting>
  <conditionalFormatting sqref="AA68">
    <cfRule type="cellIs" dxfId="9" priority="1" operator="notEqual">
      <formula>$O$82</formula>
    </cfRule>
  </conditionalFormatting>
  <conditionalFormatting sqref="AB1:AB1048576">
    <cfRule type="containsText" dxfId="8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6" manualBreakCount="6">
    <brk id="6" max="1048575" man="1"/>
    <brk id="10" max="1048575" man="1"/>
    <brk id="16" max="88" man="1"/>
    <brk id="18" max="1048575" man="1"/>
    <brk id="27" max="1048575" man="1"/>
    <brk id="29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2187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21875" style="50" customWidth="1"/>
    <col min="19" max="19" width="6.109375" style="39" customWidth="1"/>
    <col min="20" max="20" width="31" style="39" customWidth="1"/>
    <col min="21" max="21" width="17.77734375" style="39" customWidth="1"/>
    <col min="22" max="27" width="18.88671875" style="39" customWidth="1"/>
    <col min="28" max="28" width="24.33203125" style="54" customWidth="1"/>
    <col min="29" max="29" width="8.88671875" style="40"/>
    <col min="30" max="30" width="16" style="39" customWidth="1"/>
    <col min="31" max="31" width="104.77734375" style="39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53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48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53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53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195" t="s">
        <v>35</v>
      </c>
      <c r="H6" s="196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55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197">
        <f>S12</f>
        <v>1</v>
      </c>
      <c r="H7" s="198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197">
        <f t="shared" ref="G8:I23" si="0">S13</f>
        <v>2</v>
      </c>
      <c r="H8" s="198" t="str">
        <f t="shared" si="0"/>
        <v>General Contract</v>
      </c>
      <c r="I8" s="247">
        <f t="shared" si="0"/>
        <v>0</v>
      </c>
      <c r="K8" s="152"/>
      <c r="L8" s="157"/>
      <c r="M8" s="157"/>
      <c r="N8" s="154"/>
      <c r="O8" s="155"/>
      <c r="P8" s="158"/>
      <c r="S8" s="66"/>
      <c r="T8" s="67"/>
      <c r="U8" s="68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197">
        <f t="shared" si="0"/>
        <v>3</v>
      </c>
      <c r="H9" s="198" t="str">
        <f t="shared" si="0"/>
        <v>Architect Contract</v>
      </c>
      <c r="I9" s="247">
        <f t="shared" si="0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74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48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197">
        <f t="shared" si="0"/>
        <v>4</v>
      </c>
      <c r="H10" s="198" t="str">
        <f t="shared" si="0"/>
        <v>Architect Reimbursables</v>
      </c>
      <c r="I10" s="247">
        <f t="shared" si="0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197">
        <f t="shared" si="0"/>
        <v>5</v>
      </c>
      <c r="H11" s="198" t="str">
        <f t="shared" si="0"/>
        <v>Other Contracts</v>
      </c>
      <c r="I11" s="247">
        <f t="shared" si="0"/>
        <v>0</v>
      </c>
      <c r="K11" s="159"/>
      <c r="L11" s="157"/>
      <c r="M11" s="157"/>
      <c r="N11" s="154"/>
      <c r="O11" s="155"/>
      <c r="P11" s="158"/>
      <c r="R11" s="61" t="s">
        <v>119</v>
      </c>
      <c r="S11" s="78"/>
      <c r="T11" s="79"/>
      <c r="U11" s="80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197">
        <f t="shared" si="0"/>
        <v>6</v>
      </c>
      <c r="H12" s="198" t="str">
        <f t="shared" si="0"/>
        <v>Other Contracts</v>
      </c>
      <c r="I12" s="247">
        <f t="shared" si="0"/>
        <v>0</v>
      </c>
      <c r="K12" s="152"/>
      <c r="L12" s="157"/>
      <c r="M12" s="157"/>
      <c r="N12" s="154"/>
      <c r="O12" s="155"/>
      <c r="P12" s="158"/>
      <c r="R12" s="50" t="str">
        <f>IF(V12='Request #47'!V12,"OK","Send in Change Order")</f>
        <v>OK</v>
      </c>
      <c r="S12" s="85">
        <v>1</v>
      </c>
      <c r="T12" s="86" t="str">
        <f>'Request #35'!T12</f>
        <v>Land/Site Grading &amp; Improv.</v>
      </c>
      <c r="U12" s="218">
        <f>'Request #47'!U12</f>
        <v>0</v>
      </c>
      <c r="V12" s="87">
        <f>'Request #47'!V12</f>
        <v>0</v>
      </c>
      <c r="W12" s="88">
        <f>SUMIF(F7:F79,1,E7:E79)</f>
        <v>0</v>
      </c>
      <c r="X12" s="88">
        <f>'Request #47'!Y12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#47'!AA12,"OK","Alert,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197">
        <f t="shared" si="0"/>
        <v>7</v>
      </c>
      <c r="H13" s="198" t="str">
        <f t="shared" si="0"/>
        <v>Other Contracts</v>
      </c>
      <c r="I13" s="247">
        <f t="shared" si="0"/>
        <v>0</v>
      </c>
      <c r="K13" s="152"/>
      <c r="L13" s="157"/>
      <c r="M13" s="157"/>
      <c r="N13" s="154"/>
      <c r="O13" s="155"/>
      <c r="P13" s="158"/>
      <c r="R13" s="50" t="str">
        <f>IF(V13='Request #47'!V13,"OK","Send in Change Order")</f>
        <v>OK</v>
      </c>
      <c r="S13" s="85">
        <v>2</v>
      </c>
      <c r="T13" s="86" t="s">
        <v>122</v>
      </c>
      <c r="U13" s="218">
        <f>'Request #47'!U13</f>
        <v>0</v>
      </c>
      <c r="V13" s="87">
        <f>'Request #47'!V13</f>
        <v>0</v>
      </c>
      <c r="W13" s="88">
        <f>SUMIF(F7:F79,2,E7:E79)</f>
        <v>0</v>
      </c>
      <c r="X13" s="88">
        <f>'Request #47'!Y13</f>
        <v>0</v>
      </c>
      <c r="Y13" s="88">
        <f t="shared" ref="Y13:Y67" si="1">W13+X13</f>
        <v>0</v>
      </c>
      <c r="Z13" s="88">
        <f t="shared" ref="Z13:Z67" si="2">V13-Y13</f>
        <v>0</v>
      </c>
      <c r="AA13" s="88">
        <f>SUMIF(P7:P79,2,O7:O79)</f>
        <v>0</v>
      </c>
      <c r="AB13" s="50" t="str">
        <f>IF(W13&gt;='Request #47'!AA13,"OK","Alert,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197">
        <f t="shared" si="0"/>
        <v>8</v>
      </c>
      <c r="H14" s="198" t="str">
        <f t="shared" si="0"/>
        <v>Other Contracts</v>
      </c>
      <c r="I14" s="247">
        <f t="shared" si="0"/>
        <v>0</v>
      </c>
      <c r="K14" s="159"/>
      <c r="L14" s="157"/>
      <c r="M14" s="157"/>
      <c r="N14" s="154"/>
      <c r="O14" s="155"/>
      <c r="P14" s="158"/>
      <c r="R14" s="50" t="str">
        <f>IF(V14='Request #47'!V14,"OK","Send in Change Order")</f>
        <v>OK</v>
      </c>
      <c r="S14" s="85">
        <v>3</v>
      </c>
      <c r="T14" s="86" t="s">
        <v>123</v>
      </c>
      <c r="U14" s="218">
        <f>'Request #47'!U14</f>
        <v>0</v>
      </c>
      <c r="V14" s="87">
        <f>'Request #47'!V14</f>
        <v>0</v>
      </c>
      <c r="W14" s="88">
        <f>SUMIF(F7:F79,3,E7:E79)</f>
        <v>0</v>
      </c>
      <c r="X14" s="88">
        <f>'Request #47'!Y14</f>
        <v>0</v>
      </c>
      <c r="Y14" s="88">
        <f t="shared" si="1"/>
        <v>0</v>
      </c>
      <c r="Z14" s="88">
        <f t="shared" si="2"/>
        <v>0</v>
      </c>
      <c r="AA14" s="88">
        <f>SUMIF(P7:P79,3,O7:O79)</f>
        <v>0</v>
      </c>
      <c r="AB14" s="50" t="str">
        <f>IF(W14&gt;='Request #47'!AA14,"OK","Alert,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197">
        <f t="shared" si="0"/>
        <v>9</v>
      </c>
      <c r="H15" s="198" t="str">
        <f t="shared" si="0"/>
        <v>Other Contracts</v>
      </c>
      <c r="I15" s="247">
        <f t="shared" si="0"/>
        <v>0</v>
      </c>
      <c r="K15" s="159"/>
      <c r="L15" s="157"/>
      <c r="M15" s="157"/>
      <c r="N15" s="154"/>
      <c r="O15" s="155"/>
      <c r="P15" s="158"/>
      <c r="R15" s="50" t="str">
        <f>IF(V15='Request #47'!V15,"OK","Send in Change Order")</f>
        <v>OK</v>
      </c>
      <c r="S15" s="85">
        <v>4</v>
      </c>
      <c r="T15" s="86" t="s">
        <v>124</v>
      </c>
      <c r="U15" s="218">
        <f>'Request #47'!U15</f>
        <v>0</v>
      </c>
      <c r="V15" s="87">
        <f>'Request #47'!V15</f>
        <v>0</v>
      </c>
      <c r="W15" s="88">
        <f>SUMIF(F7:F79,4,E7:E79)</f>
        <v>0</v>
      </c>
      <c r="X15" s="88">
        <f>'Request #47'!Y15</f>
        <v>0</v>
      </c>
      <c r="Y15" s="88">
        <f t="shared" si="1"/>
        <v>0</v>
      </c>
      <c r="Z15" s="88">
        <f t="shared" si="2"/>
        <v>0</v>
      </c>
      <c r="AA15" s="88">
        <f>SUMIF(P7:P79,4,O7:O79)</f>
        <v>0</v>
      </c>
      <c r="AB15" s="50" t="str">
        <f>IF(W15&gt;='Request #47'!AA15,"OK","Alert,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197">
        <f t="shared" si="0"/>
        <v>10</v>
      </c>
      <c r="H16" s="198" t="str">
        <f t="shared" si="0"/>
        <v>Other Contracts</v>
      </c>
      <c r="I16" s="247">
        <f t="shared" si="0"/>
        <v>0</v>
      </c>
      <c r="K16" s="152"/>
      <c r="L16" s="157"/>
      <c r="M16" s="157"/>
      <c r="N16" s="154"/>
      <c r="O16" s="155"/>
      <c r="P16" s="158"/>
      <c r="R16" s="50" t="str">
        <f>IF(V16='Request #47'!V16,"OK","Send in Change Order")</f>
        <v>OK</v>
      </c>
      <c r="S16" s="85">
        <v>5</v>
      </c>
      <c r="T16" s="86" t="s">
        <v>71</v>
      </c>
      <c r="U16" s="218">
        <f>'Request #47'!U16</f>
        <v>0</v>
      </c>
      <c r="V16" s="87">
        <f>'Request #47'!V16</f>
        <v>0</v>
      </c>
      <c r="W16" s="88">
        <f>SUMIF(F7:F79,5,E7:E79)</f>
        <v>0</v>
      </c>
      <c r="X16" s="88">
        <f>'Request #47'!Y16</f>
        <v>0</v>
      </c>
      <c r="Y16" s="88">
        <f t="shared" si="1"/>
        <v>0</v>
      </c>
      <c r="Z16" s="88">
        <f t="shared" si="2"/>
        <v>0</v>
      </c>
      <c r="AA16" s="88">
        <f>SUMIF(P7:P79,5,O7:O79)</f>
        <v>0</v>
      </c>
      <c r="AB16" s="50" t="str">
        <f>IF(W16&gt;='Request #47'!AA16,"OK","Alert,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197">
        <f t="shared" si="0"/>
        <v>11</v>
      </c>
      <c r="H17" s="198" t="str">
        <f t="shared" si="0"/>
        <v>Other Contracts</v>
      </c>
      <c r="I17" s="247">
        <f t="shared" si="0"/>
        <v>0</v>
      </c>
      <c r="K17" s="152"/>
      <c r="L17" s="157"/>
      <c r="M17" s="157"/>
      <c r="N17" s="154"/>
      <c r="O17" s="155"/>
      <c r="P17" s="158"/>
      <c r="R17" s="50" t="str">
        <f>IF(V17='Request #47'!V17,"OK","Send in Change Order")</f>
        <v>OK</v>
      </c>
      <c r="S17" s="85">
        <v>6</v>
      </c>
      <c r="T17" s="86" t="s">
        <v>71</v>
      </c>
      <c r="U17" s="218">
        <f>'Request #47'!U17</f>
        <v>0</v>
      </c>
      <c r="V17" s="87">
        <f>'Request #47'!V17</f>
        <v>0</v>
      </c>
      <c r="W17" s="88">
        <f>SUMIF(F7:F79,6,E7:E79)</f>
        <v>0</v>
      </c>
      <c r="X17" s="88">
        <f>'Request #47'!Y17</f>
        <v>0</v>
      </c>
      <c r="Y17" s="88">
        <f t="shared" si="1"/>
        <v>0</v>
      </c>
      <c r="Z17" s="88">
        <f t="shared" si="2"/>
        <v>0</v>
      </c>
      <c r="AA17" s="88">
        <f>SUMIF(P7:P79,6,O7:O79)</f>
        <v>0</v>
      </c>
      <c r="AB17" s="50" t="str">
        <f>IF(W17&gt;='Request #47'!AA17,"OK","Alert,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197">
        <f t="shared" si="0"/>
        <v>12</v>
      </c>
      <c r="H18" s="198" t="str">
        <f t="shared" si="0"/>
        <v>Other Contracts</v>
      </c>
      <c r="I18" s="247">
        <f t="shared" si="0"/>
        <v>0</v>
      </c>
      <c r="K18" s="152"/>
      <c r="L18" s="157"/>
      <c r="M18" s="157"/>
      <c r="N18" s="154"/>
      <c r="O18" s="155"/>
      <c r="P18" s="158"/>
      <c r="R18" s="50" t="str">
        <f>IF(V18='Request #47'!V18,"OK","Send in Change Order")</f>
        <v>OK</v>
      </c>
      <c r="S18" s="85">
        <v>7</v>
      </c>
      <c r="T18" s="86" t="s">
        <v>71</v>
      </c>
      <c r="U18" s="218">
        <f>'Request #47'!U18</f>
        <v>0</v>
      </c>
      <c r="V18" s="87">
        <f>'Request #47'!V18</f>
        <v>0</v>
      </c>
      <c r="W18" s="88">
        <f>SUMIF(F7:F79,7,E7:E79)</f>
        <v>0</v>
      </c>
      <c r="X18" s="88">
        <f>'Request #47'!Y18</f>
        <v>0</v>
      </c>
      <c r="Y18" s="88">
        <f t="shared" si="1"/>
        <v>0</v>
      </c>
      <c r="Z18" s="88">
        <f t="shared" si="2"/>
        <v>0</v>
      </c>
      <c r="AA18" s="88">
        <f>SUMIF(P7:P79,7,O7:O79)</f>
        <v>0</v>
      </c>
      <c r="AB18" s="50" t="str">
        <f>IF(W18&gt;='Request #47'!AA18,"OK","Alert,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197">
        <f t="shared" si="0"/>
        <v>13</v>
      </c>
      <c r="H19" s="198" t="str">
        <f t="shared" si="0"/>
        <v>Other Contracts</v>
      </c>
      <c r="I19" s="247">
        <f t="shared" si="0"/>
        <v>0</v>
      </c>
      <c r="K19" s="159"/>
      <c r="L19" s="157"/>
      <c r="M19" s="157"/>
      <c r="N19" s="154"/>
      <c r="O19" s="155"/>
      <c r="P19" s="158"/>
      <c r="R19" s="50" t="str">
        <f>IF(V19='Request #47'!V19,"OK","Send in Change Order")</f>
        <v>OK</v>
      </c>
      <c r="S19" s="85">
        <v>8</v>
      </c>
      <c r="T19" s="86" t="s">
        <v>71</v>
      </c>
      <c r="U19" s="218">
        <f>'Request #47'!U19</f>
        <v>0</v>
      </c>
      <c r="V19" s="87">
        <f>'Request #47'!V19</f>
        <v>0</v>
      </c>
      <c r="W19" s="88">
        <f>SUMIF(F7:F79,8,E7:E79)</f>
        <v>0</v>
      </c>
      <c r="X19" s="88">
        <f>'Request #47'!Y19</f>
        <v>0</v>
      </c>
      <c r="Y19" s="88">
        <f t="shared" si="1"/>
        <v>0</v>
      </c>
      <c r="Z19" s="88">
        <f t="shared" si="2"/>
        <v>0</v>
      </c>
      <c r="AA19" s="88">
        <f>SUMIF(P7:P79,8,O7:O79)</f>
        <v>0</v>
      </c>
      <c r="AB19" s="50" t="str">
        <f>IF(W19&gt;='Request #47'!AA19,"OK","Alert,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197">
        <f t="shared" si="0"/>
        <v>14</v>
      </c>
      <c r="H20" s="198" t="str">
        <f t="shared" si="0"/>
        <v>Other Contracts</v>
      </c>
      <c r="I20" s="247">
        <f t="shared" si="0"/>
        <v>0</v>
      </c>
      <c r="K20" s="152"/>
      <c r="L20" s="157"/>
      <c r="M20" s="157"/>
      <c r="N20" s="154"/>
      <c r="O20" s="155"/>
      <c r="P20" s="158"/>
      <c r="R20" s="50" t="str">
        <f>IF(V20='Request #47'!V20,"OK","Send in Change Order")</f>
        <v>OK</v>
      </c>
      <c r="S20" s="85">
        <v>9</v>
      </c>
      <c r="T20" s="86" t="s">
        <v>71</v>
      </c>
      <c r="U20" s="218">
        <f>'Request #47'!U20</f>
        <v>0</v>
      </c>
      <c r="V20" s="87">
        <f>'Request #47'!V20</f>
        <v>0</v>
      </c>
      <c r="W20" s="88">
        <f>SUMIF(F7:F79,9,E7:E79)</f>
        <v>0</v>
      </c>
      <c r="X20" s="88">
        <f>'Request #47'!Y20</f>
        <v>0</v>
      </c>
      <c r="Y20" s="88">
        <f t="shared" si="1"/>
        <v>0</v>
      </c>
      <c r="Z20" s="88">
        <f t="shared" si="2"/>
        <v>0</v>
      </c>
      <c r="AA20" s="88">
        <f>SUMIF(P7:P79,9,O7:O79)</f>
        <v>0</v>
      </c>
      <c r="AB20" s="50" t="str">
        <f>IF(W20&gt;='Request #47'!AA20,"OK","Alert,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197">
        <f t="shared" si="0"/>
        <v>15</v>
      </c>
      <c r="H21" s="198" t="str">
        <f t="shared" si="0"/>
        <v>Other Contracts</v>
      </c>
      <c r="I21" s="247">
        <f t="shared" si="0"/>
        <v>0</v>
      </c>
      <c r="K21" s="159"/>
      <c r="L21" s="157"/>
      <c r="M21" s="157"/>
      <c r="N21" s="154"/>
      <c r="O21" s="155"/>
      <c r="P21" s="158"/>
      <c r="R21" s="50" t="str">
        <f>IF(V21='Request #47'!V21,"OK","Send in Change Order")</f>
        <v>OK</v>
      </c>
      <c r="S21" s="85">
        <v>10</v>
      </c>
      <c r="T21" s="86" t="s">
        <v>71</v>
      </c>
      <c r="U21" s="218">
        <f>'Request #47'!U21</f>
        <v>0</v>
      </c>
      <c r="V21" s="87">
        <f>'Request #47'!V21</f>
        <v>0</v>
      </c>
      <c r="W21" s="88">
        <f>SUMIF(F7:F79,10,E7:E79)</f>
        <v>0</v>
      </c>
      <c r="X21" s="88">
        <f>'Request #47'!Y21</f>
        <v>0</v>
      </c>
      <c r="Y21" s="88">
        <f t="shared" si="1"/>
        <v>0</v>
      </c>
      <c r="Z21" s="88">
        <f t="shared" si="2"/>
        <v>0</v>
      </c>
      <c r="AA21" s="88">
        <f>SUMIF(P7:P79,10,O7:O79)</f>
        <v>0</v>
      </c>
      <c r="AB21" s="50" t="str">
        <f>IF(W21&gt;='Request #47'!AA21,"OK","Alert,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197">
        <f t="shared" si="0"/>
        <v>16</v>
      </c>
      <c r="H22" s="198" t="str">
        <f t="shared" si="0"/>
        <v>Other Contracts</v>
      </c>
      <c r="I22" s="247">
        <f t="shared" si="0"/>
        <v>0</v>
      </c>
      <c r="K22" s="159"/>
      <c r="L22" s="157"/>
      <c r="M22" s="157"/>
      <c r="N22" s="154"/>
      <c r="O22" s="155"/>
      <c r="P22" s="158"/>
      <c r="R22" s="50" t="str">
        <f>IF(V22='Request #47'!V22,"OK","Send in Change Order")</f>
        <v>OK</v>
      </c>
      <c r="S22" s="85">
        <v>11</v>
      </c>
      <c r="T22" s="86" t="s">
        <v>71</v>
      </c>
      <c r="U22" s="218">
        <f>'Request #47'!U22</f>
        <v>0</v>
      </c>
      <c r="V22" s="87">
        <f>'Request #47'!V22</f>
        <v>0</v>
      </c>
      <c r="W22" s="88">
        <f>SUMIF(F7:F79,11,E7:E79)</f>
        <v>0</v>
      </c>
      <c r="X22" s="88">
        <f>'Request #47'!Y22</f>
        <v>0</v>
      </c>
      <c r="Y22" s="88">
        <f t="shared" si="1"/>
        <v>0</v>
      </c>
      <c r="Z22" s="88">
        <f t="shared" si="2"/>
        <v>0</v>
      </c>
      <c r="AA22" s="88">
        <f>SUMIF(P7:P79,11,O7:O79)</f>
        <v>0</v>
      </c>
      <c r="AB22" s="50" t="str">
        <f>IF(W22&gt;='Request #47'!AA22,"OK","Alert,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197">
        <f t="shared" si="0"/>
        <v>17</v>
      </c>
      <c r="H23" s="198" t="str">
        <f t="shared" si="0"/>
        <v>Other Contracts</v>
      </c>
      <c r="I23" s="247">
        <f t="shared" si="0"/>
        <v>0</v>
      </c>
      <c r="K23" s="159"/>
      <c r="L23" s="157"/>
      <c r="M23" s="157"/>
      <c r="N23" s="154"/>
      <c r="O23" s="155"/>
      <c r="P23" s="158"/>
      <c r="R23" s="50" t="str">
        <f>IF(V23='Request #47'!V23,"OK","Send in Change Order")</f>
        <v>OK</v>
      </c>
      <c r="S23" s="85">
        <v>12</v>
      </c>
      <c r="T23" s="86" t="s">
        <v>71</v>
      </c>
      <c r="U23" s="218">
        <f>'Request #47'!U23</f>
        <v>0</v>
      </c>
      <c r="V23" s="87">
        <f>'Request #47'!V23</f>
        <v>0</v>
      </c>
      <c r="W23" s="88">
        <f>SUMIF(F7:F79,12,E7:E79)</f>
        <v>0</v>
      </c>
      <c r="X23" s="88">
        <f>'Request #47'!Y23</f>
        <v>0</v>
      </c>
      <c r="Y23" s="88">
        <f t="shared" si="1"/>
        <v>0</v>
      </c>
      <c r="Z23" s="88">
        <f t="shared" si="2"/>
        <v>0</v>
      </c>
      <c r="AA23" s="88">
        <f>SUMIF(P7:P79,12,O7:O79)</f>
        <v>0</v>
      </c>
      <c r="AB23" s="50" t="str">
        <f>IF(W23&gt;='Request #47'!AA23,"OK","Alert,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197">
        <f t="shared" ref="G24:I39" si="3">S29</f>
        <v>18</v>
      </c>
      <c r="H24" s="198" t="str">
        <f t="shared" si="3"/>
        <v>Other Contracts</v>
      </c>
      <c r="I24" s="247">
        <f t="shared" si="3"/>
        <v>0</v>
      </c>
      <c r="K24" s="159"/>
      <c r="L24" s="157"/>
      <c r="M24" s="157"/>
      <c r="N24" s="154"/>
      <c r="O24" s="155"/>
      <c r="P24" s="158"/>
      <c r="R24" s="50" t="str">
        <f>IF(V24='Request #47'!V24,"OK","Send in Change Order")</f>
        <v>OK</v>
      </c>
      <c r="S24" s="85">
        <v>13</v>
      </c>
      <c r="T24" s="86" t="s">
        <v>71</v>
      </c>
      <c r="U24" s="218">
        <f>'Request #47'!U24</f>
        <v>0</v>
      </c>
      <c r="V24" s="87">
        <f>'Request #47'!V24</f>
        <v>0</v>
      </c>
      <c r="W24" s="88">
        <f>SUMIF(F7:F79,13,E7:E79)</f>
        <v>0</v>
      </c>
      <c r="X24" s="88">
        <f>'Request #47'!Y24</f>
        <v>0</v>
      </c>
      <c r="Y24" s="88">
        <f t="shared" si="1"/>
        <v>0</v>
      </c>
      <c r="Z24" s="88">
        <f t="shared" si="2"/>
        <v>0</v>
      </c>
      <c r="AA24" s="88">
        <f>SUMIF(P7:P79,13,O7:O79)</f>
        <v>0</v>
      </c>
      <c r="AB24" s="50" t="str">
        <f>IF(W24&gt;='Request #47'!AA24,"OK","Alert,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197">
        <f t="shared" si="3"/>
        <v>19</v>
      </c>
      <c r="H25" s="198" t="str">
        <f t="shared" si="3"/>
        <v>Other Contracts</v>
      </c>
      <c r="I25" s="247">
        <f t="shared" si="3"/>
        <v>0</v>
      </c>
      <c r="K25" s="159"/>
      <c r="L25" s="157"/>
      <c r="M25" s="157"/>
      <c r="N25" s="154"/>
      <c r="O25" s="155"/>
      <c r="P25" s="158"/>
      <c r="R25" s="50" t="str">
        <f>IF(V25='Request #47'!V25,"OK","Send in Change Order")</f>
        <v>OK</v>
      </c>
      <c r="S25" s="85">
        <v>14</v>
      </c>
      <c r="T25" s="86" t="s">
        <v>71</v>
      </c>
      <c r="U25" s="218">
        <f>'Request #47'!U25</f>
        <v>0</v>
      </c>
      <c r="V25" s="87">
        <f>'Request #47'!V25</f>
        <v>0</v>
      </c>
      <c r="W25" s="88">
        <f>SUMIF(F7:F79,14,E7:E79)</f>
        <v>0</v>
      </c>
      <c r="X25" s="88">
        <f>'Request #47'!Y25</f>
        <v>0</v>
      </c>
      <c r="Y25" s="88">
        <f t="shared" si="1"/>
        <v>0</v>
      </c>
      <c r="Z25" s="88">
        <f t="shared" si="2"/>
        <v>0</v>
      </c>
      <c r="AA25" s="88">
        <f>SUMIF(P7:P79,14,O7:O79)</f>
        <v>0</v>
      </c>
      <c r="AB25" s="50" t="str">
        <f>IF(W25&gt;='Request #47'!AA25,"OK","Alert,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197">
        <f t="shared" si="3"/>
        <v>20</v>
      </c>
      <c r="H26" s="198" t="str">
        <f t="shared" si="3"/>
        <v>Other Contracts</v>
      </c>
      <c r="I26" s="247">
        <f t="shared" si="3"/>
        <v>0</v>
      </c>
      <c r="K26" s="159"/>
      <c r="L26" s="157"/>
      <c r="M26" s="157"/>
      <c r="N26" s="154"/>
      <c r="O26" s="155"/>
      <c r="P26" s="158"/>
      <c r="R26" s="50" t="str">
        <f>IF(V26='Request #47'!V26,"OK","Send in Change Order")</f>
        <v>OK</v>
      </c>
      <c r="S26" s="85">
        <v>15</v>
      </c>
      <c r="T26" s="86" t="s">
        <v>71</v>
      </c>
      <c r="U26" s="218">
        <f>'Request #47'!U26</f>
        <v>0</v>
      </c>
      <c r="V26" s="87">
        <f>'Request #47'!V26</f>
        <v>0</v>
      </c>
      <c r="W26" s="88">
        <f>SUMIF(F7:F79,15,E7:E79)</f>
        <v>0</v>
      </c>
      <c r="X26" s="88">
        <f>'Request #47'!Y26</f>
        <v>0</v>
      </c>
      <c r="Y26" s="88">
        <f t="shared" si="1"/>
        <v>0</v>
      </c>
      <c r="Z26" s="88">
        <f t="shared" si="2"/>
        <v>0</v>
      </c>
      <c r="AA26" s="88">
        <f>SUMIF(P7:P79,15,O7:O79)</f>
        <v>0</v>
      </c>
      <c r="AB26" s="50" t="str">
        <f>IF(W26&gt;='Request #47'!AA26,"OK","Alert,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197">
        <f t="shared" si="3"/>
        <v>21</v>
      </c>
      <c r="H27" s="198" t="str">
        <f t="shared" si="3"/>
        <v>Other Contracts</v>
      </c>
      <c r="I27" s="247">
        <f t="shared" si="3"/>
        <v>0</v>
      </c>
      <c r="K27" s="159"/>
      <c r="L27" s="157"/>
      <c r="M27" s="157"/>
      <c r="N27" s="154"/>
      <c r="O27" s="155"/>
      <c r="P27" s="158"/>
      <c r="R27" s="50" t="str">
        <f>IF(V27='Request #47'!V27,"OK","Send in Change Order")</f>
        <v>OK</v>
      </c>
      <c r="S27" s="85">
        <v>16</v>
      </c>
      <c r="T27" s="86" t="s">
        <v>71</v>
      </c>
      <c r="U27" s="218">
        <f>'Request #47'!U27</f>
        <v>0</v>
      </c>
      <c r="V27" s="87">
        <f>'Request #47'!V27</f>
        <v>0</v>
      </c>
      <c r="W27" s="88">
        <f>SUMIF(F7:F79,16,E7:E79)</f>
        <v>0</v>
      </c>
      <c r="X27" s="88">
        <f>'Request #47'!Y27</f>
        <v>0</v>
      </c>
      <c r="Y27" s="88">
        <f t="shared" si="1"/>
        <v>0</v>
      </c>
      <c r="Z27" s="88">
        <f t="shared" si="2"/>
        <v>0</v>
      </c>
      <c r="AA27" s="88">
        <f>SUMIF(P7:P79,16,O7:O79)</f>
        <v>0</v>
      </c>
      <c r="AB27" s="50" t="str">
        <f>IF(W27&gt;='Request #47'!AA27,"OK","Alert,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197">
        <f t="shared" si="3"/>
        <v>22</v>
      </c>
      <c r="H28" s="198" t="str">
        <f t="shared" si="3"/>
        <v>Other Contracts</v>
      </c>
      <c r="I28" s="247">
        <f t="shared" si="3"/>
        <v>0</v>
      </c>
      <c r="K28" s="159"/>
      <c r="L28" s="157"/>
      <c r="M28" s="157"/>
      <c r="N28" s="154"/>
      <c r="O28" s="155"/>
      <c r="P28" s="158"/>
      <c r="R28" s="50" t="str">
        <f>IF(V28='Request #47'!V28,"OK","Send in Change Order")</f>
        <v>OK</v>
      </c>
      <c r="S28" s="85">
        <v>17</v>
      </c>
      <c r="T28" s="86" t="s">
        <v>71</v>
      </c>
      <c r="U28" s="218">
        <f>'Request #47'!U28</f>
        <v>0</v>
      </c>
      <c r="V28" s="87">
        <f>'Request #47'!V28</f>
        <v>0</v>
      </c>
      <c r="W28" s="88">
        <f>SUMIF(F7:F79,17,E7:E79)</f>
        <v>0</v>
      </c>
      <c r="X28" s="88">
        <f>'Request #47'!Y28</f>
        <v>0</v>
      </c>
      <c r="Y28" s="88">
        <f t="shared" si="1"/>
        <v>0</v>
      </c>
      <c r="Z28" s="88">
        <f t="shared" si="2"/>
        <v>0</v>
      </c>
      <c r="AA28" s="88">
        <f>SUMIF(P7:P79,17,O7:O79)</f>
        <v>0</v>
      </c>
      <c r="AB28" s="50" t="str">
        <f>IF(W28&gt;='Request #47'!AA28,"OK","Alert,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197">
        <f t="shared" si="3"/>
        <v>23</v>
      </c>
      <c r="H29" s="198" t="str">
        <f t="shared" si="3"/>
        <v>Other Contracts</v>
      </c>
      <c r="I29" s="247">
        <f t="shared" si="3"/>
        <v>0</v>
      </c>
      <c r="K29" s="159"/>
      <c r="L29" s="157"/>
      <c r="M29" s="157"/>
      <c r="N29" s="154"/>
      <c r="O29" s="155"/>
      <c r="P29" s="158"/>
      <c r="R29" s="50" t="str">
        <f>IF(V29='Request #47'!V29,"OK","Send in Change Order")</f>
        <v>OK</v>
      </c>
      <c r="S29" s="85">
        <v>18</v>
      </c>
      <c r="T29" s="86" t="s">
        <v>71</v>
      </c>
      <c r="U29" s="218">
        <f>'Request #47'!U29</f>
        <v>0</v>
      </c>
      <c r="V29" s="87">
        <f>'Request #47'!V29</f>
        <v>0</v>
      </c>
      <c r="W29" s="88">
        <f>SUMIF(F7:F79,18,E7:E79)</f>
        <v>0</v>
      </c>
      <c r="X29" s="88">
        <f>'Request #47'!Y29</f>
        <v>0</v>
      </c>
      <c r="Y29" s="88">
        <f t="shared" si="1"/>
        <v>0</v>
      </c>
      <c r="Z29" s="88">
        <f t="shared" si="2"/>
        <v>0</v>
      </c>
      <c r="AA29" s="88">
        <f>SUMIF(P7:P79,18,O7:O79)</f>
        <v>0</v>
      </c>
      <c r="AB29" s="50" t="str">
        <f>IF(W29&gt;='Request #47'!AA29,"OK","Alert,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197">
        <f t="shared" si="3"/>
        <v>24</v>
      </c>
      <c r="H30" s="198" t="str">
        <f t="shared" si="3"/>
        <v>Other Contracts</v>
      </c>
      <c r="I30" s="247">
        <f t="shared" si="3"/>
        <v>0</v>
      </c>
      <c r="K30" s="159"/>
      <c r="L30" s="157"/>
      <c r="M30" s="157"/>
      <c r="N30" s="154"/>
      <c r="O30" s="155"/>
      <c r="P30" s="158"/>
      <c r="R30" s="50" t="str">
        <f>IF(V30='Request #47'!V30,"OK","Send in Change Order")</f>
        <v>OK</v>
      </c>
      <c r="S30" s="85">
        <v>19</v>
      </c>
      <c r="T30" s="86" t="s">
        <v>71</v>
      </c>
      <c r="U30" s="218">
        <f>'Request #47'!U30</f>
        <v>0</v>
      </c>
      <c r="V30" s="87">
        <f>'Request #47'!V30</f>
        <v>0</v>
      </c>
      <c r="W30" s="88">
        <f>SUMIF(F7:F79,19,E7:E79)</f>
        <v>0</v>
      </c>
      <c r="X30" s="88">
        <f>'Request #47'!Y30</f>
        <v>0</v>
      </c>
      <c r="Y30" s="88">
        <f t="shared" si="1"/>
        <v>0</v>
      </c>
      <c r="Z30" s="88">
        <f t="shared" si="2"/>
        <v>0</v>
      </c>
      <c r="AA30" s="88">
        <f>SUMIF(P7:P79,19,O7:O79)</f>
        <v>0</v>
      </c>
      <c r="AB30" s="50" t="str">
        <f>IF(W30&gt;='Request #47'!AA30,"OK","Alert,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197">
        <f t="shared" si="3"/>
        <v>25</v>
      </c>
      <c r="H31" s="198" t="str">
        <f t="shared" si="3"/>
        <v>Other Contracts</v>
      </c>
      <c r="I31" s="247">
        <f t="shared" si="3"/>
        <v>0</v>
      </c>
      <c r="K31" s="159"/>
      <c r="L31" s="157"/>
      <c r="M31" s="157"/>
      <c r="N31" s="154"/>
      <c r="O31" s="155"/>
      <c r="P31" s="158"/>
      <c r="R31" s="50" t="str">
        <f>IF(V31='Request #47'!V31,"OK","Send in Change Order")</f>
        <v>OK</v>
      </c>
      <c r="S31" s="85">
        <v>20</v>
      </c>
      <c r="T31" s="86" t="s">
        <v>71</v>
      </c>
      <c r="U31" s="218">
        <f>'Request #47'!U31</f>
        <v>0</v>
      </c>
      <c r="V31" s="87">
        <f>'Request #47'!V31</f>
        <v>0</v>
      </c>
      <c r="W31" s="88">
        <f>SUMIF(F7:F79,20,E7:E79)</f>
        <v>0</v>
      </c>
      <c r="X31" s="88">
        <f>'Request #47'!Y31</f>
        <v>0</v>
      </c>
      <c r="Y31" s="88">
        <f t="shared" si="1"/>
        <v>0</v>
      </c>
      <c r="Z31" s="88">
        <f t="shared" si="2"/>
        <v>0</v>
      </c>
      <c r="AA31" s="88">
        <f>SUMIF(P7:P79,20,O7:O79)</f>
        <v>0</v>
      </c>
      <c r="AB31" s="50" t="str">
        <f>IF(W31&gt;='Request #47'!AA31,"OK","Alert,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197">
        <f t="shared" si="3"/>
        <v>26</v>
      </c>
      <c r="H32" s="198" t="str">
        <f t="shared" si="3"/>
        <v>Other Fees</v>
      </c>
      <c r="I32" s="247">
        <f t="shared" si="3"/>
        <v>0</v>
      </c>
      <c r="K32" s="159"/>
      <c r="L32" s="157"/>
      <c r="M32" s="157"/>
      <c r="N32" s="154"/>
      <c r="O32" s="155"/>
      <c r="P32" s="158"/>
      <c r="R32" s="50" t="str">
        <f>IF(V32='Request #47'!V32,"OK","Send in Change Order")</f>
        <v>OK</v>
      </c>
      <c r="S32" s="85">
        <v>21</v>
      </c>
      <c r="T32" s="86" t="s">
        <v>71</v>
      </c>
      <c r="U32" s="218">
        <f>'Request #47'!U32</f>
        <v>0</v>
      </c>
      <c r="V32" s="87">
        <f>'Request #47'!V32</f>
        <v>0</v>
      </c>
      <c r="W32" s="88">
        <f>SUMIF(F7:F79,21,E7:E79)</f>
        <v>0</v>
      </c>
      <c r="X32" s="88">
        <f>'Request #47'!Y32</f>
        <v>0</v>
      </c>
      <c r="Y32" s="88">
        <f t="shared" si="1"/>
        <v>0</v>
      </c>
      <c r="Z32" s="88">
        <f t="shared" si="2"/>
        <v>0</v>
      </c>
      <c r="AA32" s="88">
        <f>SUMIF(P7:P79,21,O7:O79)</f>
        <v>0</v>
      </c>
      <c r="AB32" s="50" t="str">
        <f>IF(W32&gt;='Request #47'!AA32,"OK","Alert,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197">
        <f t="shared" si="3"/>
        <v>27</v>
      </c>
      <c r="H33" s="198" t="str">
        <f t="shared" si="3"/>
        <v>Other Fees</v>
      </c>
      <c r="I33" s="247">
        <f t="shared" si="3"/>
        <v>0</v>
      </c>
      <c r="K33" s="159"/>
      <c r="L33" s="157"/>
      <c r="M33" s="157"/>
      <c r="N33" s="154"/>
      <c r="O33" s="155"/>
      <c r="P33" s="158"/>
      <c r="R33" s="50" t="str">
        <f>IF(V33='Request #47'!V33,"OK","Send in Change Order")</f>
        <v>OK</v>
      </c>
      <c r="S33" s="85">
        <v>22</v>
      </c>
      <c r="T33" s="86" t="s">
        <v>71</v>
      </c>
      <c r="U33" s="218">
        <f>'Request #47'!U33</f>
        <v>0</v>
      </c>
      <c r="V33" s="87">
        <f>'Request #47'!V33</f>
        <v>0</v>
      </c>
      <c r="W33" s="88">
        <f>SUMIF(F7:F79,22,E7:E79)</f>
        <v>0</v>
      </c>
      <c r="X33" s="88">
        <f>'Request #47'!Y33</f>
        <v>0</v>
      </c>
      <c r="Y33" s="88">
        <f t="shared" si="1"/>
        <v>0</v>
      </c>
      <c r="Z33" s="88">
        <f t="shared" si="2"/>
        <v>0</v>
      </c>
      <c r="AA33" s="88">
        <f>SUMIF(P7:P79,22,O7:O79)</f>
        <v>0</v>
      </c>
      <c r="AB33" s="50" t="str">
        <f>IF(W33&gt;='Request #47'!AA33,"OK","Alert,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197">
        <f t="shared" si="3"/>
        <v>28</v>
      </c>
      <c r="H34" s="198" t="str">
        <f t="shared" si="3"/>
        <v>Other Fees</v>
      </c>
      <c r="I34" s="247">
        <f t="shared" si="3"/>
        <v>0</v>
      </c>
      <c r="K34" s="159"/>
      <c r="L34" s="157"/>
      <c r="M34" s="157"/>
      <c r="N34" s="154"/>
      <c r="O34" s="155"/>
      <c r="P34" s="158"/>
      <c r="R34" s="50" t="str">
        <f>IF(V34='Request #47'!V34,"OK","Send in Change Order")</f>
        <v>OK</v>
      </c>
      <c r="S34" s="85">
        <v>23</v>
      </c>
      <c r="T34" s="86" t="s">
        <v>71</v>
      </c>
      <c r="U34" s="218">
        <f>'Request #47'!U34</f>
        <v>0</v>
      </c>
      <c r="V34" s="87">
        <f>'Request #47'!V34</f>
        <v>0</v>
      </c>
      <c r="W34" s="88">
        <f>SUMIF(F7:F79,23,E7:E79)</f>
        <v>0</v>
      </c>
      <c r="X34" s="88">
        <f>'Request #47'!Y34</f>
        <v>0</v>
      </c>
      <c r="Y34" s="88">
        <f t="shared" si="1"/>
        <v>0</v>
      </c>
      <c r="Z34" s="88">
        <f t="shared" si="2"/>
        <v>0</v>
      </c>
      <c r="AA34" s="88">
        <f>SUMIF(P7:P79,23,O7:O79)</f>
        <v>0</v>
      </c>
      <c r="AB34" s="50" t="str">
        <f>IF(W34&gt;='Request #47'!AA34,"OK","Alert,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197">
        <f t="shared" si="3"/>
        <v>29</v>
      </c>
      <c r="H35" s="198" t="str">
        <f t="shared" si="3"/>
        <v>Other Fees</v>
      </c>
      <c r="I35" s="247">
        <f t="shared" si="3"/>
        <v>0</v>
      </c>
      <c r="K35" s="159"/>
      <c r="L35" s="157"/>
      <c r="M35" s="157"/>
      <c r="N35" s="154"/>
      <c r="O35" s="155"/>
      <c r="P35" s="158"/>
      <c r="R35" s="50" t="str">
        <f>IF(V36='Request #47'!V36,"OK","Send in Change Order")</f>
        <v>OK</v>
      </c>
      <c r="S35" s="85">
        <v>24</v>
      </c>
      <c r="T35" s="86" t="s">
        <v>71</v>
      </c>
      <c r="U35" s="218">
        <f>'Request #47'!U35</f>
        <v>0</v>
      </c>
      <c r="V35" s="87">
        <f>'Request #47'!V35</f>
        <v>0</v>
      </c>
      <c r="W35" s="88">
        <f>SUMIF(F7:F79,24,E7:E79)</f>
        <v>0</v>
      </c>
      <c r="X35" s="88">
        <f>'Request #47'!Y35</f>
        <v>0</v>
      </c>
      <c r="Y35" s="88">
        <f t="shared" si="1"/>
        <v>0</v>
      </c>
      <c r="Z35" s="88">
        <f t="shared" si="2"/>
        <v>0</v>
      </c>
      <c r="AA35" s="88">
        <f>SUMIF(P7:P79,24,O7:O79)</f>
        <v>0</v>
      </c>
      <c r="AB35" s="50" t="str">
        <f>IF(W36&gt;='Request #47'!AA36,"OK","Alert,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197">
        <f t="shared" si="3"/>
        <v>30</v>
      </c>
      <c r="H36" s="198" t="str">
        <f t="shared" si="3"/>
        <v>Other Fees</v>
      </c>
      <c r="I36" s="247">
        <f t="shared" si="3"/>
        <v>0</v>
      </c>
      <c r="K36" s="159"/>
      <c r="L36" s="157"/>
      <c r="M36" s="157"/>
      <c r="N36" s="154"/>
      <c r="O36" s="155"/>
      <c r="P36" s="158"/>
      <c r="R36" s="50" t="str">
        <f>IF(V36='Request #47'!V36,"OK","Send in Change Order")</f>
        <v>OK</v>
      </c>
      <c r="S36" s="85">
        <v>25</v>
      </c>
      <c r="T36" s="86" t="s">
        <v>71</v>
      </c>
      <c r="U36" s="218">
        <f>'Request #47'!U36</f>
        <v>0</v>
      </c>
      <c r="V36" s="87">
        <f>'Request #47'!V36</f>
        <v>0</v>
      </c>
      <c r="W36" s="88">
        <f>SUMIF(F7:F79,25,E7:E79)</f>
        <v>0</v>
      </c>
      <c r="X36" s="88">
        <f>'Request #47'!Y36</f>
        <v>0</v>
      </c>
      <c r="Y36" s="88">
        <f t="shared" si="1"/>
        <v>0</v>
      </c>
      <c r="Z36" s="88">
        <f t="shared" si="2"/>
        <v>0</v>
      </c>
      <c r="AA36" s="88">
        <f>SUMIF(P7:P79,25,O7:O79)</f>
        <v>0</v>
      </c>
      <c r="AB36" s="50" t="str">
        <f>IF(W36&gt;='Request #47'!AA36,"OK","Alert,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197">
        <f t="shared" si="3"/>
        <v>31</v>
      </c>
      <c r="H37" s="198" t="str">
        <f t="shared" si="3"/>
        <v>Other Fees</v>
      </c>
      <c r="I37" s="247">
        <f t="shared" si="3"/>
        <v>0</v>
      </c>
      <c r="K37" s="159"/>
      <c r="L37" s="157"/>
      <c r="M37" s="157"/>
      <c r="N37" s="154"/>
      <c r="O37" s="155"/>
      <c r="P37" s="158"/>
      <c r="R37" s="50" t="str">
        <f>IF(V37='Request #47'!V37,"OK","Send in Change Order")</f>
        <v>OK</v>
      </c>
      <c r="S37" s="85">
        <v>26</v>
      </c>
      <c r="T37" s="86" t="s">
        <v>82</v>
      </c>
      <c r="U37" s="218">
        <f>'Request #47'!U37</f>
        <v>0</v>
      </c>
      <c r="V37" s="87">
        <f>'Request #47'!V37</f>
        <v>0</v>
      </c>
      <c r="W37" s="88">
        <f>SUMIF(F7:F79,26,E7:E79)</f>
        <v>0</v>
      </c>
      <c r="X37" s="88">
        <f>'Request #47'!Y37</f>
        <v>0</v>
      </c>
      <c r="Y37" s="88">
        <f t="shared" si="1"/>
        <v>0</v>
      </c>
      <c r="Z37" s="88">
        <f t="shared" si="2"/>
        <v>0</v>
      </c>
      <c r="AA37" s="88">
        <f>SUMIF(P7:P79,26,O7:O79)</f>
        <v>0</v>
      </c>
      <c r="AB37" s="50" t="str">
        <f>IF(W37&gt;='Request #47'!AA37,"OK","Alert,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197">
        <f t="shared" si="3"/>
        <v>32</v>
      </c>
      <c r="H38" s="198" t="str">
        <f t="shared" si="3"/>
        <v>Other Fees</v>
      </c>
      <c r="I38" s="247">
        <f t="shared" si="3"/>
        <v>0</v>
      </c>
      <c r="K38" s="159"/>
      <c r="L38" s="157"/>
      <c r="M38" s="157"/>
      <c r="N38" s="154"/>
      <c r="O38" s="155"/>
      <c r="P38" s="158"/>
      <c r="R38" s="50" t="str">
        <f>IF(V38='Request #47'!V38,"OK","Send in Change Order")</f>
        <v>OK</v>
      </c>
      <c r="S38" s="85">
        <v>27</v>
      </c>
      <c r="T38" s="86" t="s">
        <v>82</v>
      </c>
      <c r="U38" s="218">
        <f>'Request #47'!U38</f>
        <v>0</v>
      </c>
      <c r="V38" s="87">
        <f>'Request #47'!V38</f>
        <v>0</v>
      </c>
      <c r="W38" s="88">
        <f>SUMIF(F7:F79,27,E7:E79)</f>
        <v>0</v>
      </c>
      <c r="X38" s="88">
        <f>'Request #47'!Y38</f>
        <v>0</v>
      </c>
      <c r="Y38" s="88">
        <f t="shared" si="1"/>
        <v>0</v>
      </c>
      <c r="Z38" s="88">
        <f t="shared" si="2"/>
        <v>0</v>
      </c>
      <c r="AA38" s="88">
        <f>SUMIF(P7:P79,27,O7:O79)</f>
        <v>0</v>
      </c>
      <c r="AB38" s="50" t="str">
        <f>IF(W38&gt;='Request #47'!AA38,"OK","Alert,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197">
        <f t="shared" si="3"/>
        <v>33</v>
      </c>
      <c r="H39" s="198" t="str">
        <f t="shared" si="3"/>
        <v>Other Fees</v>
      </c>
      <c r="I39" s="247">
        <f t="shared" si="3"/>
        <v>0</v>
      </c>
      <c r="K39" s="159"/>
      <c r="L39" s="157"/>
      <c r="M39" s="157"/>
      <c r="N39" s="154"/>
      <c r="O39" s="155"/>
      <c r="P39" s="158"/>
      <c r="R39" s="50" t="str">
        <f>IF(V39='Request #47'!V39,"OK","Send in Change Order")</f>
        <v>OK</v>
      </c>
      <c r="S39" s="85">
        <v>28</v>
      </c>
      <c r="T39" s="86" t="s">
        <v>82</v>
      </c>
      <c r="U39" s="218">
        <f>'Request #47'!U39</f>
        <v>0</v>
      </c>
      <c r="V39" s="87">
        <f>'Request #47'!V39</f>
        <v>0</v>
      </c>
      <c r="W39" s="88">
        <f>SUMIF(F7:F79,28,E7:E79)</f>
        <v>0</v>
      </c>
      <c r="X39" s="88">
        <f>'Request #47'!Y39</f>
        <v>0</v>
      </c>
      <c r="Y39" s="88">
        <f t="shared" si="1"/>
        <v>0</v>
      </c>
      <c r="Z39" s="88">
        <f t="shared" si="2"/>
        <v>0</v>
      </c>
      <c r="AA39" s="88">
        <f>SUMIF(P7:P79,28,O7:O79)</f>
        <v>0</v>
      </c>
      <c r="AB39" s="50" t="str">
        <f>IF(W39&gt;='Request #47'!AA39,"OK","Alert,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197">
        <f t="shared" ref="G40:I55" si="4">S45</f>
        <v>0</v>
      </c>
      <c r="H40" s="198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#47'!V40,"OK","Send in Change Order")</f>
        <v>OK</v>
      </c>
      <c r="S40" s="85">
        <v>29</v>
      </c>
      <c r="T40" s="86" t="s">
        <v>82</v>
      </c>
      <c r="U40" s="218">
        <f>'Request #47'!U40</f>
        <v>0</v>
      </c>
      <c r="V40" s="87">
        <f>'Request #47'!V40</f>
        <v>0</v>
      </c>
      <c r="W40" s="88">
        <f>SUMIF(F7:F79,29,E7:E79)</f>
        <v>0</v>
      </c>
      <c r="X40" s="88">
        <f>'Request #47'!Y40</f>
        <v>0</v>
      </c>
      <c r="Y40" s="88">
        <f t="shared" si="1"/>
        <v>0</v>
      </c>
      <c r="Z40" s="88">
        <f t="shared" si="2"/>
        <v>0</v>
      </c>
      <c r="AA40" s="88">
        <f>SUMIF(P7:P79,29,O7:O79)</f>
        <v>0</v>
      </c>
      <c r="AB40" s="50" t="str">
        <f>IF(W40&gt;='Request #47'!AA40,"OK","Alert,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197" t="str">
        <f t="shared" si="4"/>
        <v>Cost</v>
      </c>
      <c r="H41" s="198">
        <f t="shared" si="4"/>
        <v>0</v>
      </c>
      <c r="I41" s="247">
        <f t="shared" si="4"/>
        <v>0</v>
      </c>
      <c r="K41" s="159"/>
      <c r="L41" s="157"/>
      <c r="M41" s="157"/>
      <c r="N41" s="154"/>
      <c r="O41" s="155"/>
      <c r="P41" s="158"/>
      <c r="R41" s="50" t="str">
        <f>IF(V41='Request #47'!V41,"OK","Send in Change Order")</f>
        <v>OK</v>
      </c>
      <c r="S41" s="85">
        <v>30</v>
      </c>
      <c r="T41" s="86" t="s">
        <v>82</v>
      </c>
      <c r="U41" s="218">
        <f>'Request #47'!U41</f>
        <v>0</v>
      </c>
      <c r="V41" s="87">
        <f>'Request #47'!V41</f>
        <v>0</v>
      </c>
      <c r="W41" s="88">
        <f>SUMIF(F7:F79,30,E7:E79)</f>
        <v>0</v>
      </c>
      <c r="X41" s="88">
        <f>'Request #47'!Y41</f>
        <v>0</v>
      </c>
      <c r="Y41" s="88">
        <f t="shared" si="1"/>
        <v>0</v>
      </c>
      <c r="Z41" s="88">
        <f t="shared" si="2"/>
        <v>0</v>
      </c>
      <c r="AA41" s="88">
        <f>SUMIF(P7:P79,30,O7:O79)</f>
        <v>0</v>
      </c>
      <c r="AB41" s="50" t="str">
        <f>IF(W41&gt;='Request #47'!AA41,"OK","Alert,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197" t="str">
        <f t="shared" si="4"/>
        <v>Item</v>
      </c>
      <c r="H42" s="198" t="str">
        <f t="shared" si="4"/>
        <v>Account Name</v>
      </c>
      <c r="I42" s="247">
        <f t="shared" si="4"/>
        <v>0</v>
      </c>
      <c r="K42" s="159"/>
      <c r="L42" s="157"/>
      <c r="M42" s="157"/>
      <c r="N42" s="154"/>
      <c r="O42" s="155"/>
      <c r="P42" s="158"/>
      <c r="R42" s="50" t="str">
        <f>IF(V42='Request #47'!V42,"OK","Send in Change Order")</f>
        <v>OK</v>
      </c>
      <c r="S42" s="85">
        <v>31</v>
      </c>
      <c r="T42" s="86" t="s">
        <v>82</v>
      </c>
      <c r="U42" s="218">
        <f>'Request #47'!U42</f>
        <v>0</v>
      </c>
      <c r="V42" s="87">
        <f>'Request #47'!V42</f>
        <v>0</v>
      </c>
      <c r="W42" s="88">
        <f>SUMIF(F7:F79,31,E7:E79)</f>
        <v>0</v>
      </c>
      <c r="X42" s="88">
        <f>'Request #47'!Y42</f>
        <v>0</v>
      </c>
      <c r="Y42" s="88">
        <f t="shared" si="1"/>
        <v>0</v>
      </c>
      <c r="Z42" s="88">
        <f t="shared" si="2"/>
        <v>0</v>
      </c>
      <c r="AA42" s="88">
        <f>SUMIF(P7:P79,31,O7:O79)</f>
        <v>0</v>
      </c>
      <c r="AB42" s="50" t="str">
        <f>IF(W42&gt;='Request #47'!AA42,"OK","Alert,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197">
        <f t="shared" si="4"/>
        <v>0</v>
      </c>
      <c r="H43" s="198">
        <f t="shared" si="4"/>
        <v>0</v>
      </c>
      <c r="I43" s="247">
        <f t="shared" si="4"/>
        <v>0</v>
      </c>
      <c r="K43" s="159"/>
      <c r="L43" s="157"/>
      <c r="M43" s="157"/>
      <c r="N43" s="154"/>
      <c r="O43" s="155"/>
      <c r="P43" s="158"/>
      <c r="R43" s="50" t="str">
        <f>IF(V43='Request #47'!V43,"OK","Send in Change Order")</f>
        <v>OK</v>
      </c>
      <c r="S43" s="85">
        <v>32</v>
      </c>
      <c r="T43" s="86" t="s">
        <v>82</v>
      </c>
      <c r="U43" s="218">
        <f>'Request #47'!U43</f>
        <v>0</v>
      </c>
      <c r="V43" s="87">
        <f>'Request #47'!V43</f>
        <v>0</v>
      </c>
      <c r="W43" s="88">
        <f>SUMIF(F7:F79,32,E7:E79)</f>
        <v>0</v>
      </c>
      <c r="X43" s="88">
        <f>'Request #47'!Y43</f>
        <v>0</v>
      </c>
      <c r="Y43" s="88">
        <f t="shared" si="1"/>
        <v>0</v>
      </c>
      <c r="Z43" s="88">
        <f t="shared" si="2"/>
        <v>0</v>
      </c>
      <c r="AA43" s="88">
        <f>SUMIF(P7:P79,32,O7:O79)</f>
        <v>0</v>
      </c>
      <c r="AB43" s="50" t="str">
        <f>IF(W43&gt;='Request #47'!AA43,"OK","Alert,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197">
        <f t="shared" si="4"/>
        <v>38</v>
      </c>
      <c r="H44" s="198" t="str">
        <f t="shared" si="4"/>
        <v>Other Fees</v>
      </c>
      <c r="I44" s="247">
        <f t="shared" si="4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#47'!V44,"OK","Send in Change Order")</f>
        <v>OK</v>
      </c>
      <c r="S44" s="85">
        <v>33</v>
      </c>
      <c r="T44" s="86" t="s">
        <v>82</v>
      </c>
      <c r="U44" s="218">
        <f>'Request #47'!U44</f>
        <v>0</v>
      </c>
      <c r="V44" s="87">
        <f>'Request #47'!V44</f>
        <v>0</v>
      </c>
      <c r="W44" s="88">
        <f>SUMIF(F7:F79,33,E7:E79)</f>
        <v>0</v>
      </c>
      <c r="X44" s="88">
        <f>'Request #47'!Y44</f>
        <v>0</v>
      </c>
      <c r="Y44" s="88">
        <f t="shared" si="1"/>
        <v>0</v>
      </c>
      <c r="Z44" s="88">
        <f t="shared" si="2"/>
        <v>0</v>
      </c>
      <c r="AA44" s="88">
        <f>SUMIF(P7:P79,33,O7:O79)</f>
        <v>0</v>
      </c>
      <c r="AB44" s="50" t="str">
        <f>IF(W44&gt;='Request #47'!AA44,"OK","Alert,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4"/>
        <v>39</v>
      </c>
      <c r="H45" s="205" t="str">
        <f t="shared" si="4"/>
        <v>Other Fees</v>
      </c>
      <c r="I45" s="247">
        <f t="shared" si="4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4"/>
        <v>40</v>
      </c>
      <c r="H46" s="205" t="str">
        <f t="shared" si="4"/>
        <v>Other Fees</v>
      </c>
      <c r="I46" s="247">
        <f t="shared" si="4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197">
        <f t="shared" si="4"/>
        <v>41</v>
      </c>
      <c r="H47" s="198" t="str">
        <f t="shared" si="4"/>
        <v>Other Fees</v>
      </c>
      <c r="I47" s="247">
        <f t="shared" si="4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197">
        <f t="shared" si="4"/>
        <v>42</v>
      </c>
      <c r="H48" s="198" t="str">
        <f t="shared" si="4"/>
        <v>Other Fees</v>
      </c>
      <c r="I48" s="247">
        <f t="shared" si="4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197">
        <f t="shared" si="4"/>
        <v>43</v>
      </c>
      <c r="H49" s="198" t="str">
        <f t="shared" si="4"/>
        <v>Other Fees</v>
      </c>
      <c r="I49" s="247">
        <f t="shared" si="4"/>
        <v>0</v>
      </c>
      <c r="K49" s="159"/>
      <c r="L49" s="157"/>
      <c r="M49" s="157"/>
      <c r="N49" s="154"/>
      <c r="O49" s="155"/>
      <c r="P49" s="158"/>
      <c r="R49" s="50" t="str">
        <f>IF(V49='Request #47'!V49,"OK","Send in Change Order")</f>
        <v>OK</v>
      </c>
      <c r="S49" s="85">
        <v>38</v>
      </c>
      <c r="T49" s="86" t="s">
        <v>82</v>
      </c>
      <c r="U49" s="218">
        <f>'Request #47'!U49</f>
        <v>0</v>
      </c>
      <c r="V49" s="87">
        <f>'Request #47'!V49</f>
        <v>0</v>
      </c>
      <c r="W49" s="88">
        <f>SUMIF(F7:F79,38,E7:E79)</f>
        <v>0</v>
      </c>
      <c r="X49" s="88">
        <f>'Request #47'!Y49</f>
        <v>0</v>
      </c>
      <c r="Y49" s="88">
        <f t="shared" si="1"/>
        <v>0</v>
      </c>
      <c r="Z49" s="88">
        <f t="shared" si="2"/>
        <v>0</v>
      </c>
      <c r="AA49" s="88">
        <f>SUMIF(P7:P79,38,O7:O79)</f>
        <v>0</v>
      </c>
      <c r="AB49" s="50" t="str">
        <f>IF(W49&gt;='Request #47'!AA49,"OK","Alert,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197">
        <f t="shared" si="4"/>
        <v>44</v>
      </c>
      <c r="H50" s="198" t="str">
        <f t="shared" si="4"/>
        <v>Other Fees</v>
      </c>
      <c r="I50" s="247">
        <f t="shared" si="4"/>
        <v>0</v>
      </c>
      <c r="K50" s="159"/>
      <c r="L50" s="157"/>
      <c r="M50" s="157"/>
      <c r="N50" s="154"/>
      <c r="O50" s="155"/>
      <c r="P50" s="158"/>
      <c r="R50" s="50" t="str">
        <f>IF(V50='Request #47'!V50,"OK","Send in Change Order")</f>
        <v>OK</v>
      </c>
      <c r="S50" s="85">
        <v>39</v>
      </c>
      <c r="T50" s="86" t="s">
        <v>82</v>
      </c>
      <c r="U50" s="218">
        <f>'Request #47'!U50</f>
        <v>0</v>
      </c>
      <c r="V50" s="87">
        <f>'Request #47'!V50</f>
        <v>0</v>
      </c>
      <c r="W50" s="88">
        <f>SUMIF(F7:F79,39,E7:E79)</f>
        <v>0</v>
      </c>
      <c r="X50" s="88">
        <f>'Request #47'!Y50</f>
        <v>0</v>
      </c>
      <c r="Y50" s="88">
        <f t="shared" si="1"/>
        <v>0</v>
      </c>
      <c r="Z50" s="88">
        <f t="shared" si="2"/>
        <v>0</v>
      </c>
      <c r="AA50" s="88">
        <f>SUMIF(P7:P79,39,O7:O79)</f>
        <v>0</v>
      </c>
      <c r="AB50" s="50" t="str">
        <f>IF(W50&gt;='Request #47'!AA50,"OK","Alert,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197">
        <f t="shared" si="4"/>
        <v>45</v>
      </c>
      <c r="H51" s="198" t="str">
        <f t="shared" si="4"/>
        <v>Other Fees</v>
      </c>
      <c r="I51" s="247">
        <f t="shared" si="4"/>
        <v>0</v>
      </c>
      <c r="K51" s="159"/>
      <c r="L51" s="157"/>
      <c r="M51" s="157"/>
      <c r="N51" s="154"/>
      <c r="O51" s="155"/>
      <c r="P51" s="158"/>
      <c r="R51" s="50" t="str">
        <f>IF(V51='Request #47'!V51,"OK","Send in Change Order")</f>
        <v>OK</v>
      </c>
      <c r="S51" s="85">
        <v>40</v>
      </c>
      <c r="T51" s="86" t="s">
        <v>82</v>
      </c>
      <c r="U51" s="218">
        <f>'Request #47'!U51</f>
        <v>0</v>
      </c>
      <c r="V51" s="87">
        <f>'Request #47'!V51</f>
        <v>0</v>
      </c>
      <c r="W51" s="88">
        <f>SUMIF(F7:F79,40,E7:E79)</f>
        <v>0</v>
      </c>
      <c r="X51" s="88">
        <f>'Request #47'!Y51</f>
        <v>0</v>
      </c>
      <c r="Y51" s="88">
        <f t="shared" si="1"/>
        <v>0</v>
      </c>
      <c r="Z51" s="88">
        <f t="shared" si="2"/>
        <v>0</v>
      </c>
      <c r="AA51" s="88">
        <f>SUMIF(P7:P79,40,O7:O79)</f>
        <v>0</v>
      </c>
      <c r="AB51" s="50" t="str">
        <f>IF(W51&gt;='Request #47'!AA51,"OK","Alert,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197">
        <f t="shared" si="4"/>
        <v>46</v>
      </c>
      <c r="H52" s="198" t="str">
        <f t="shared" si="4"/>
        <v>Other Fees</v>
      </c>
      <c r="I52" s="247">
        <f t="shared" si="4"/>
        <v>0</v>
      </c>
      <c r="K52" s="159"/>
      <c r="L52" s="157"/>
      <c r="M52" s="157"/>
      <c r="N52" s="154"/>
      <c r="O52" s="155"/>
      <c r="P52" s="158"/>
      <c r="R52" s="50" t="str">
        <f>IF(V52='Request #47'!V52,"OK","Send in Change Order")</f>
        <v>OK</v>
      </c>
      <c r="S52" s="85">
        <v>41</v>
      </c>
      <c r="T52" s="86" t="s">
        <v>82</v>
      </c>
      <c r="U52" s="218">
        <f>'Request #47'!U52</f>
        <v>0</v>
      </c>
      <c r="V52" s="87">
        <f>'Request #47'!V52</f>
        <v>0</v>
      </c>
      <c r="W52" s="88">
        <f>SUMIF(F7:F79,41,E7:E79)</f>
        <v>0</v>
      </c>
      <c r="X52" s="88">
        <f>'Request #47'!Y52</f>
        <v>0</v>
      </c>
      <c r="Y52" s="88">
        <f t="shared" si="1"/>
        <v>0</v>
      </c>
      <c r="Z52" s="88">
        <f t="shared" si="2"/>
        <v>0</v>
      </c>
      <c r="AA52" s="88">
        <f>SUMIF(P7:P79,41,O7:O79)</f>
        <v>0</v>
      </c>
      <c r="AB52" s="50" t="str">
        <f>IF(W52&gt;='Request #47'!AA52,"OK","Alert,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197">
        <f t="shared" si="4"/>
        <v>47</v>
      </c>
      <c r="H53" s="198" t="str">
        <f t="shared" si="4"/>
        <v>Other Fees</v>
      </c>
      <c r="I53" s="247">
        <f t="shared" si="4"/>
        <v>0</v>
      </c>
      <c r="K53" s="159"/>
      <c r="L53" s="157"/>
      <c r="M53" s="157"/>
      <c r="N53" s="154"/>
      <c r="O53" s="155"/>
      <c r="P53" s="158"/>
      <c r="R53" s="50" t="str">
        <f>IF(V53='Request #47'!V53,"OK","Send in Change Order")</f>
        <v>OK</v>
      </c>
      <c r="S53" s="85">
        <v>42</v>
      </c>
      <c r="T53" s="86" t="s">
        <v>82</v>
      </c>
      <c r="U53" s="218">
        <f>'Request #47'!U53</f>
        <v>0</v>
      </c>
      <c r="V53" s="87">
        <f>'Request #47'!V53</f>
        <v>0</v>
      </c>
      <c r="W53" s="88">
        <f>SUMIF(F7:F79,42,E7:E79)</f>
        <v>0</v>
      </c>
      <c r="X53" s="88">
        <f>'Request #47'!Y53</f>
        <v>0</v>
      </c>
      <c r="Y53" s="88">
        <f t="shared" si="1"/>
        <v>0</v>
      </c>
      <c r="Z53" s="88">
        <f t="shared" si="2"/>
        <v>0</v>
      </c>
      <c r="AA53" s="88">
        <f>SUMIF(P7:P79,42,O7:O79)</f>
        <v>0</v>
      </c>
      <c r="AB53" s="50" t="str">
        <f>IF(W53&gt;='Request #47'!AA53,"OK","Alert,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197">
        <f t="shared" si="4"/>
        <v>48</v>
      </c>
      <c r="H54" s="198" t="str">
        <f t="shared" si="4"/>
        <v>Other Fees</v>
      </c>
      <c r="I54" s="247">
        <f t="shared" si="4"/>
        <v>0</v>
      </c>
      <c r="K54" s="159"/>
      <c r="L54" s="157"/>
      <c r="M54" s="157"/>
      <c r="N54" s="154"/>
      <c r="O54" s="155"/>
      <c r="P54" s="158"/>
      <c r="R54" s="50" t="str">
        <f>IF(V54='Request #47'!V54,"OK","Send in Change Order")</f>
        <v>OK</v>
      </c>
      <c r="S54" s="85">
        <v>43</v>
      </c>
      <c r="T54" s="86" t="s">
        <v>82</v>
      </c>
      <c r="U54" s="218">
        <f>'Request #47'!U54</f>
        <v>0</v>
      </c>
      <c r="V54" s="87">
        <f>'Request #47'!V54</f>
        <v>0</v>
      </c>
      <c r="W54" s="88">
        <f>SUMIF(F7:F79,43,E7:E79)</f>
        <v>0</v>
      </c>
      <c r="X54" s="88">
        <f>'Request #47'!Y54</f>
        <v>0</v>
      </c>
      <c r="Y54" s="88">
        <f t="shared" si="1"/>
        <v>0</v>
      </c>
      <c r="Z54" s="88">
        <f t="shared" si="2"/>
        <v>0</v>
      </c>
      <c r="AA54" s="88">
        <f>SUMIF(P7:P79,43,O7:O79)</f>
        <v>0</v>
      </c>
      <c r="AB54" s="50" t="str">
        <f>IF(W54&gt;='Request #47'!AA54,"OK","Alert,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197">
        <f t="shared" si="4"/>
        <v>49</v>
      </c>
      <c r="H55" s="198" t="str">
        <f t="shared" si="4"/>
        <v>Other Fees</v>
      </c>
      <c r="I55" s="247">
        <f t="shared" si="4"/>
        <v>0</v>
      </c>
      <c r="K55" s="159"/>
      <c r="L55" s="157"/>
      <c r="M55" s="157"/>
      <c r="N55" s="154"/>
      <c r="O55" s="155"/>
      <c r="P55" s="158"/>
      <c r="R55" s="50" t="str">
        <f>IF(V55='Request #47'!V55,"OK","Send in Change Order")</f>
        <v>OK</v>
      </c>
      <c r="S55" s="85">
        <v>44</v>
      </c>
      <c r="T55" s="86" t="s">
        <v>82</v>
      </c>
      <c r="U55" s="218">
        <f>'Request #47'!U55</f>
        <v>0</v>
      </c>
      <c r="V55" s="87">
        <f>'Request #47'!V55</f>
        <v>0</v>
      </c>
      <c r="W55" s="88">
        <f>SUMIF(F7:F79,44,E7:E79)</f>
        <v>0</v>
      </c>
      <c r="X55" s="88">
        <f>'Request #47'!Y55</f>
        <v>0</v>
      </c>
      <c r="Y55" s="88">
        <f t="shared" si="1"/>
        <v>0</v>
      </c>
      <c r="Z55" s="88">
        <f t="shared" si="2"/>
        <v>0</v>
      </c>
      <c r="AA55" s="88">
        <f>SUMIF(P7:P79,44,O7:O79)</f>
        <v>0</v>
      </c>
      <c r="AB55" s="50" t="str">
        <f>IF(W55&gt;='Request #47'!AA55,"OK","Alert,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197">
        <f t="shared" ref="G56:I62" si="5">S61</f>
        <v>50</v>
      </c>
      <c r="H56" s="198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#47'!V56,"OK","Send in Change Order")</f>
        <v>OK</v>
      </c>
      <c r="S56" s="85">
        <v>45</v>
      </c>
      <c r="T56" s="86" t="s">
        <v>82</v>
      </c>
      <c r="U56" s="218">
        <f>'Request #47'!U56</f>
        <v>0</v>
      </c>
      <c r="V56" s="87">
        <f>'Request #47'!V56</f>
        <v>0</v>
      </c>
      <c r="W56" s="88">
        <f>SUMIF(F7:F79,45,E7:E79)</f>
        <v>0</v>
      </c>
      <c r="X56" s="88">
        <f>'Request #47'!Y56</f>
        <v>0</v>
      </c>
      <c r="Y56" s="88">
        <f t="shared" si="1"/>
        <v>0</v>
      </c>
      <c r="Z56" s="88">
        <f t="shared" si="2"/>
        <v>0</v>
      </c>
      <c r="AA56" s="88">
        <f>SUMIF(P7:P79,45,O7:O79)</f>
        <v>0</v>
      </c>
      <c r="AB56" s="50" t="str">
        <f>IF(W56&gt;='Request #47'!AA56,"OK","Alert,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197">
        <f t="shared" si="5"/>
        <v>51</v>
      </c>
      <c r="H57" s="198" t="str">
        <f t="shared" si="5"/>
        <v>Other Fees</v>
      </c>
      <c r="I57" s="247">
        <f t="shared" si="5"/>
        <v>0</v>
      </c>
      <c r="K57" s="159"/>
      <c r="L57" s="157"/>
      <c r="M57" s="157"/>
      <c r="N57" s="154"/>
      <c r="O57" s="155"/>
      <c r="P57" s="158"/>
      <c r="R57" s="50" t="str">
        <f>IF(V57='Request #47'!V57,"OK","Send in Change Order")</f>
        <v>OK</v>
      </c>
      <c r="S57" s="85">
        <v>46</v>
      </c>
      <c r="T57" s="86" t="s">
        <v>82</v>
      </c>
      <c r="U57" s="218">
        <f>'Request #47'!U57</f>
        <v>0</v>
      </c>
      <c r="V57" s="87">
        <f>'Request #47'!V57</f>
        <v>0</v>
      </c>
      <c r="W57" s="88">
        <f>SUMIF(F7:F79,46,E7:E79)</f>
        <v>0</v>
      </c>
      <c r="X57" s="88">
        <f>'Request #47'!Y57</f>
        <v>0</v>
      </c>
      <c r="Y57" s="88">
        <f t="shared" si="1"/>
        <v>0</v>
      </c>
      <c r="Z57" s="88">
        <f t="shared" si="2"/>
        <v>0</v>
      </c>
      <c r="AA57" s="88">
        <f>SUMIF(P7:P79,46,O7:O79)</f>
        <v>0</v>
      </c>
      <c r="AB57" s="50" t="str">
        <f>IF(W57&gt;='Request #47'!AA57,"OK","Alert,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197">
        <f t="shared" si="5"/>
        <v>52</v>
      </c>
      <c r="H58" s="198" t="str">
        <f t="shared" si="5"/>
        <v>Worked Performed by Owner</v>
      </c>
      <c r="I58" s="247">
        <f t="shared" si="5"/>
        <v>0</v>
      </c>
      <c r="K58" s="159"/>
      <c r="L58" s="157"/>
      <c r="M58" s="157"/>
      <c r="N58" s="154"/>
      <c r="O58" s="155"/>
      <c r="P58" s="158"/>
      <c r="R58" s="50" t="str">
        <f>IF(V58='Request #47'!V58,"OK","Send in Change Order")</f>
        <v>OK</v>
      </c>
      <c r="S58" s="85">
        <v>47</v>
      </c>
      <c r="T58" s="86" t="s">
        <v>82</v>
      </c>
      <c r="U58" s="218">
        <f>'Request #47'!U58</f>
        <v>0</v>
      </c>
      <c r="V58" s="87">
        <f>'Request #47'!V58</f>
        <v>0</v>
      </c>
      <c r="W58" s="88">
        <f>SUMIF(F7:F79,47,E7:E79)</f>
        <v>0</v>
      </c>
      <c r="X58" s="88">
        <f>'Request #47'!Y58</f>
        <v>0</v>
      </c>
      <c r="Y58" s="88">
        <f t="shared" si="1"/>
        <v>0</v>
      </c>
      <c r="Z58" s="88">
        <f t="shared" si="2"/>
        <v>0</v>
      </c>
      <c r="AA58" s="88">
        <f>SUMIF(P7:P79,47,O7:O79)</f>
        <v>0</v>
      </c>
      <c r="AB58" s="50" t="str">
        <f>IF(W58&gt;='Request #47'!AA58,"OK","Alert,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197">
        <f t="shared" si="5"/>
        <v>53</v>
      </c>
      <c r="H59" s="198" t="str">
        <f t="shared" si="5"/>
        <v>Equipment (Major)</v>
      </c>
      <c r="I59" s="247">
        <f t="shared" si="5"/>
        <v>0</v>
      </c>
      <c r="K59" s="159"/>
      <c r="L59" s="157"/>
      <c r="M59" s="157"/>
      <c r="N59" s="154"/>
      <c r="O59" s="155"/>
      <c r="P59" s="158"/>
      <c r="R59" s="50" t="str">
        <f>IF(V59='Request #47'!V59,"OK","Send in Change Order")</f>
        <v>OK</v>
      </c>
      <c r="S59" s="85">
        <v>48</v>
      </c>
      <c r="T59" s="86" t="s">
        <v>82</v>
      </c>
      <c r="U59" s="218">
        <f>'Request #47'!U59</f>
        <v>0</v>
      </c>
      <c r="V59" s="87">
        <f>'Request #47'!V59</f>
        <v>0</v>
      </c>
      <c r="W59" s="88">
        <f>SUMIF(F7:F79,48,E7:E79)</f>
        <v>0</v>
      </c>
      <c r="X59" s="88">
        <f>'Request #47'!Y59</f>
        <v>0</v>
      </c>
      <c r="Y59" s="88">
        <f t="shared" si="1"/>
        <v>0</v>
      </c>
      <c r="Z59" s="88">
        <f t="shared" si="2"/>
        <v>0</v>
      </c>
      <c r="AA59" s="88">
        <f>SUMIF(P7:P79,48,O7:O79)</f>
        <v>0</v>
      </c>
      <c r="AB59" s="50" t="str">
        <f>IF(W59&gt;='Request #47'!AA59,"OK","Alert,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197">
        <f t="shared" si="5"/>
        <v>54</v>
      </c>
      <c r="H60" s="198" t="str">
        <f t="shared" si="5"/>
        <v>Contingency Fund</v>
      </c>
      <c r="I60" s="247">
        <f t="shared" si="5"/>
        <v>0</v>
      </c>
      <c r="K60" s="159"/>
      <c r="L60" s="157"/>
      <c r="M60" s="157"/>
      <c r="N60" s="154"/>
      <c r="O60" s="155"/>
      <c r="P60" s="158"/>
      <c r="R60" s="50" t="str">
        <f>IF(V60='Request #47'!V60,"OK","Send in Change Order")</f>
        <v>OK</v>
      </c>
      <c r="S60" s="85">
        <v>49</v>
      </c>
      <c r="T60" s="86" t="s">
        <v>82</v>
      </c>
      <c r="U60" s="218">
        <f>'Request #47'!U60</f>
        <v>0</v>
      </c>
      <c r="V60" s="87">
        <f>'Request #47'!V60</f>
        <v>0</v>
      </c>
      <c r="W60" s="88">
        <f>SUMIF(F7:F79,49,E7:E79)</f>
        <v>0</v>
      </c>
      <c r="X60" s="88">
        <f>'Request #47'!Y60</f>
        <v>0</v>
      </c>
      <c r="Y60" s="88">
        <f t="shared" si="1"/>
        <v>0</v>
      </c>
      <c r="Z60" s="88">
        <f t="shared" si="2"/>
        <v>0</v>
      </c>
      <c r="AA60" s="88">
        <f>SUMIF(P7:P79,49,O7:O79)</f>
        <v>0</v>
      </c>
      <c r="AB60" s="50" t="str">
        <f>IF(W60&gt;='Request #47'!AA60,"OK","Alert,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197">
        <f t="shared" si="5"/>
        <v>55</v>
      </c>
      <c r="H61" s="198">
        <f t="shared" si="5"/>
        <v>0</v>
      </c>
      <c r="I61" s="247">
        <f t="shared" si="5"/>
        <v>0</v>
      </c>
      <c r="K61" s="159"/>
      <c r="L61" s="157"/>
      <c r="M61" s="157"/>
      <c r="N61" s="154"/>
      <c r="O61" s="155"/>
      <c r="P61" s="158"/>
      <c r="R61" s="50" t="str">
        <f>IF(V61='Request #47'!V61,"OK","Send in Change Order")</f>
        <v>OK</v>
      </c>
      <c r="S61" s="85">
        <v>50</v>
      </c>
      <c r="T61" s="86" t="s">
        <v>82</v>
      </c>
      <c r="U61" s="218">
        <f>'Request #47'!U61</f>
        <v>0</v>
      </c>
      <c r="V61" s="87">
        <f>'Request #47'!V61</f>
        <v>0</v>
      </c>
      <c r="W61" s="88">
        <f>SUMIF(F7:F79,50,E7:E79)</f>
        <v>0</v>
      </c>
      <c r="X61" s="88">
        <f>'Request #47'!Y61</f>
        <v>0</v>
      </c>
      <c r="Y61" s="88">
        <f t="shared" si="1"/>
        <v>0</v>
      </c>
      <c r="Z61" s="88">
        <f t="shared" si="2"/>
        <v>0</v>
      </c>
      <c r="AA61" s="88">
        <f>SUMIF(P7:P79,50,O7:O79)</f>
        <v>0</v>
      </c>
      <c r="AB61" s="50" t="str">
        <f>IF(W61&gt;='Request #47'!AA61,"OK","Alert,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197">
        <f t="shared" si="5"/>
        <v>56</v>
      </c>
      <c r="H62" s="198">
        <f t="shared" si="5"/>
        <v>0</v>
      </c>
      <c r="I62" s="247">
        <f t="shared" si="5"/>
        <v>0</v>
      </c>
      <c r="K62" s="159"/>
      <c r="L62" s="157"/>
      <c r="M62" s="157"/>
      <c r="N62" s="154"/>
      <c r="O62" s="155"/>
      <c r="P62" s="158"/>
      <c r="R62" s="50" t="str">
        <f>IF(V62='Request #47'!V62,"OK","Send in Change Order")</f>
        <v>OK</v>
      </c>
      <c r="S62" s="85">
        <v>51</v>
      </c>
      <c r="T62" s="86" t="s">
        <v>82</v>
      </c>
      <c r="U62" s="218">
        <f>'Request #47'!U62</f>
        <v>0</v>
      </c>
      <c r="V62" s="87">
        <f>'Request #47'!V62</f>
        <v>0</v>
      </c>
      <c r="W62" s="88">
        <f>SUMIF(F7:F79,51,E7:E79)</f>
        <v>0</v>
      </c>
      <c r="X62" s="88">
        <f>'Request #47'!Y62</f>
        <v>0</v>
      </c>
      <c r="Y62" s="88">
        <f t="shared" si="1"/>
        <v>0</v>
      </c>
      <c r="Z62" s="88">
        <f t="shared" si="2"/>
        <v>0</v>
      </c>
      <c r="AA62" s="88">
        <f>SUMIF(P7:P79,51,O7:O79)</f>
        <v>0</v>
      </c>
      <c r="AB62" s="50" t="str">
        <f>IF(W62&gt;='Request #47'!AA62,"OK","Alert,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#47'!V63,"OK","Send in Change Order")</f>
        <v>OK</v>
      </c>
      <c r="S63" s="85">
        <v>52</v>
      </c>
      <c r="T63" s="86" t="s">
        <v>88</v>
      </c>
      <c r="U63" s="218">
        <f>'Request #47'!U63</f>
        <v>0</v>
      </c>
      <c r="V63" s="87">
        <f>'Request #47'!V63</f>
        <v>0</v>
      </c>
      <c r="W63" s="88">
        <f>SUMIF(F7:F79,52,E7:E79)</f>
        <v>0</v>
      </c>
      <c r="X63" s="88">
        <f>'Request #47'!Y63</f>
        <v>0</v>
      </c>
      <c r="Y63" s="88">
        <f t="shared" si="1"/>
        <v>0</v>
      </c>
      <c r="Z63" s="88">
        <f t="shared" si="2"/>
        <v>0</v>
      </c>
      <c r="AA63" s="88">
        <f>SUMIF(P7:P79,52,O7:O79)</f>
        <v>0</v>
      </c>
      <c r="AB63" s="50" t="str">
        <f>IF(W63&gt;='Request #47'!AA63,"OK","Alert,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#47'!V64,"OK","Send in Change Order")</f>
        <v>OK</v>
      </c>
      <c r="S64" s="85">
        <v>53</v>
      </c>
      <c r="T64" s="86" t="s">
        <v>89</v>
      </c>
      <c r="U64" s="218">
        <f>'Request #47'!U64</f>
        <v>0</v>
      </c>
      <c r="V64" s="87">
        <f>'Request #47'!V64</f>
        <v>0</v>
      </c>
      <c r="W64" s="88">
        <f>SUMIF(F7:F79,53,E7:E79)</f>
        <v>0</v>
      </c>
      <c r="X64" s="88">
        <f>'Request #47'!Y64</f>
        <v>0</v>
      </c>
      <c r="Y64" s="88">
        <f t="shared" si="1"/>
        <v>0</v>
      </c>
      <c r="Z64" s="88">
        <f t="shared" si="2"/>
        <v>0</v>
      </c>
      <c r="AA64" s="88">
        <f>SUMIF(P7:P79,53,O7:O79)</f>
        <v>0</v>
      </c>
      <c r="AB64" s="50" t="str">
        <f>IF(W64&gt;='Request #47'!AA64,"OK","Alert,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#47'!V65,"OK","Send in Change Order")</f>
        <v>OK</v>
      </c>
      <c r="S65" s="85">
        <v>54</v>
      </c>
      <c r="T65" s="102" t="s">
        <v>90</v>
      </c>
      <c r="U65" s="218">
        <f>'Request #47'!U65</f>
        <v>0</v>
      </c>
      <c r="V65" s="87">
        <f>'Request #47'!V65</f>
        <v>0</v>
      </c>
      <c r="W65" s="104"/>
      <c r="X65" s="88">
        <f>'Request #47'!Y65</f>
        <v>0</v>
      </c>
      <c r="Y65" s="88">
        <f t="shared" si="1"/>
        <v>0</v>
      </c>
      <c r="Z65" s="88">
        <f t="shared" si="2"/>
        <v>0</v>
      </c>
      <c r="AA65" s="104"/>
      <c r="AB65" s="50" t="str">
        <f>IF(W65&gt;='Request #47'!AA65,"OK","Alert,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#47'!V66,"OK","Send in Change Order")</f>
        <v>OK</v>
      </c>
      <c r="S66" s="85">
        <v>55</v>
      </c>
      <c r="T66" s="86"/>
      <c r="U66" s="218">
        <f>'Request #47'!U66</f>
        <v>0</v>
      </c>
      <c r="V66" s="87">
        <f>'Request #47'!V66</f>
        <v>0</v>
      </c>
      <c r="W66" s="88">
        <f>SUMIF(F7:F79,55,E7:E79)</f>
        <v>0</v>
      </c>
      <c r="X66" s="88">
        <f>'Request #47'!Y66</f>
        <v>0</v>
      </c>
      <c r="Y66" s="88">
        <f t="shared" si="1"/>
        <v>0</v>
      </c>
      <c r="Z66" s="88">
        <f t="shared" si="2"/>
        <v>0</v>
      </c>
      <c r="AA66" s="88">
        <f>SUMIF(P7:P79,55,O7:O79)</f>
        <v>0</v>
      </c>
      <c r="AB66" s="50" t="str">
        <f>IF(W66&gt;='Request #47'!AA66,"OK","Alert,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#47'!V67,"OK","Send in Change Order")</f>
        <v>OK</v>
      </c>
      <c r="S67" s="85">
        <v>56</v>
      </c>
      <c r="T67" s="79"/>
      <c r="U67" s="218">
        <f>'Request #47'!U67</f>
        <v>0</v>
      </c>
      <c r="V67" s="87">
        <f>'Request #47'!V67</f>
        <v>0</v>
      </c>
      <c r="W67" s="88">
        <f>SUMIF(F7:F79,56,E7:E79)</f>
        <v>0</v>
      </c>
      <c r="X67" s="88">
        <f>'Request #47'!Y67</f>
        <v>0</v>
      </c>
      <c r="Y67" s="88">
        <f t="shared" si="1"/>
        <v>0</v>
      </c>
      <c r="Z67" s="88">
        <f t="shared" si="2"/>
        <v>0</v>
      </c>
      <c r="AA67" s="88">
        <f>SUMIF(P7:P79,56,O7:O79)</f>
        <v>0</v>
      </c>
      <c r="AB67" s="50" t="str">
        <f>IF(W67&gt;='Request #47'!AA67,"OK","Alert,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#47'!V68,"OK","Send in Change Order")</f>
        <v>OK</v>
      </c>
      <c r="S68" s="316" t="s">
        <v>60</v>
      </c>
      <c r="T68" s="317"/>
      <c r="U68" s="166" t="s">
        <v>91</v>
      </c>
      <c r="V68" s="263">
        <f t="shared" ref="V68:AA68" si="6">SUM(V12:V67)</f>
        <v>0</v>
      </c>
      <c r="W68" s="105">
        <f t="shared" si="6"/>
        <v>0</v>
      </c>
      <c r="X68" s="105">
        <f t="shared" si="6"/>
        <v>0</v>
      </c>
      <c r="Y68" s="105">
        <f t="shared" si="6"/>
        <v>0</v>
      </c>
      <c r="Z68" s="105">
        <f t="shared" si="6"/>
        <v>0</v>
      </c>
      <c r="AA68" s="105">
        <f t="shared" si="6"/>
        <v>0</v>
      </c>
      <c r="AB68" s="50" t="str">
        <f>IF(W68&gt;='Request #47'!AA68,"OK","Alert,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108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167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190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119" t="e">
        <f>V72/V68</f>
        <v>#DIV/0!</v>
      </c>
      <c r="V72" s="88">
        <f>V68-V74-V73</f>
        <v>0</v>
      </c>
      <c r="W72" s="87">
        <v>0</v>
      </c>
      <c r="X72" s="88">
        <f>'Request #47'!Y72</f>
        <v>0</v>
      </c>
      <c r="Y72" s="88">
        <f t="shared" ref="Y72:Y73" si="7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S73" s="86" t="s">
        <v>95</v>
      </c>
      <c r="T73" s="114"/>
      <c r="U73" s="119" t="e">
        <f>V73/V68</f>
        <v>#DIV/0!</v>
      </c>
      <c r="V73" s="87">
        <f>'Request #47'!V73</f>
        <v>0</v>
      </c>
      <c r="W73" s="87">
        <v>0</v>
      </c>
      <c r="X73" s="88">
        <f>'Request #47'!Y73</f>
        <v>0</v>
      </c>
      <c r="Y73" s="88">
        <f t="shared" si="7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S74" s="120" t="s">
        <v>96</v>
      </c>
      <c r="T74" s="121"/>
      <c r="U74" s="119" t="e">
        <f>V74/V68</f>
        <v>#DIV/0!</v>
      </c>
      <c r="V74" s="87">
        <f>'Request #47'!V74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55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1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114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114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136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55"/>
      <c r="V80" s="55"/>
      <c r="W80" s="55"/>
      <c r="X80" s="138"/>
      <c r="Y80" s="45" t="s">
        <v>108</v>
      </c>
      <c r="Z80" s="43"/>
      <c r="AA80" s="88">
        <f>'Request #47'!AA79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48</v>
      </c>
      <c r="V87" s="55"/>
      <c r="W87" s="55"/>
      <c r="X87" s="138"/>
      <c r="Y87" s="45" t="s">
        <v>108</v>
      </c>
      <c r="Z87" s="43"/>
      <c r="AA87" s="88">
        <f>'Request #47'!AA86</f>
        <v>0</v>
      </c>
      <c r="AB87" s="110"/>
    </row>
    <row r="88" spans="1:28" ht="30" customHeight="1" thickBot="1" x14ac:dyDescent="0.35">
      <c r="S88" s="55"/>
      <c r="T88" s="55"/>
      <c r="U88" s="55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55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55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55"/>
      <c r="V91" s="55"/>
      <c r="W91" s="55"/>
      <c r="X91" s="55"/>
    </row>
    <row r="92" spans="1:28" ht="30" customHeight="1" x14ac:dyDescent="0.3">
      <c r="S92" s="55"/>
      <c r="T92" s="55"/>
      <c r="U92" s="55"/>
      <c r="V92" s="55"/>
      <c r="W92" s="55"/>
      <c r="X92" s="55"/>
    </row>
    <row r="93" spans="1:28" ht="30" customHeight="1" x14ac:dyDescent="0.3">
      <c r="S93" s="55"/>
      <c r="T93" s="55"/>
      <c r="U93" s="55"/>
      <c r="V93" s="55"/>
      <c r="W93" s="55"/>
      <c r="X93" s="55"/>
    </row>
    <row r="94" spans="1:28" ht="30" customHeight="1" x14ac:dyDescent="0.3">
      <c r="S94" s="55"/>
      <c r="T94" s="55"/>
      <c r="U94" s="55"/>
      <c r="V94" s="55"/>
      <c r="W94" s="55"/>
      <c r="X94" s="55"/>
    </row>
    <row r="95" spans="1:28" ht="30" customHeight="1" x14ac:dyDescent="0.3">
      <c r="S95" s="55"/>
      <c r="T95" s="55"/>
      <c r="U95" s="55"/>
      <c r="V95" s="55"/>
      <c r="W95" s="55"/>
      <c r="X95" s="55"/>
    </row>
    <row r="96" spans="1:28" ht="30" customHeight="1" x14ac:dyDescent="0.3">
      <c r="S96" s="55"/>
      <c r="T96" s="55"/>
      <c r="U96" s="55"/>
      <c r="V96" s="55"/>
      <c r="W96" s="55"/>
      <c r="X96" s="55"/>
    </row>
    <row r="97" spans="15:24" ht="30" customHeight="1" x14ac:dyDescent="0.3">
      <c r="S97" s="55"/>
      <c r="T97" s="55"/>
      <c r="U97" s="55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5XMTnb8qXhS7NmEgddigH7NtNTjf9WPC7jrgb3/cuA1sNysIFUlyvz1by8MbB5La7yqlz6Hapyfb9gnXgx5yUQ==" saltValue="nnRrjJk+JjubzmVdCwvHyA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6:Z86"/>
    <mergeCell ref="S68:T68"/>
    <mergeCell ref="S70:T70"/>
    <mergeCell ref="Y76:AA76"/>
    <mergeCell ref="W77:W79"/>
    <mergeCell ref="Y79:Z79"/>
    <mergeCell ref="Y83:AA83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7" priority="14" operator="containsText" text="Change">
      <formula>NOT(ISERROR(SEARCH("Change",R1)))</formula>
    </cfRule>
  </conditionalFormatting>
  <conditionalFormatting sqref="R45:R48">
    <cfRule type="cellIs" dxfId="6" priority="7" operator="equal">
      <formula>"Send in Change Order"</formula>
    </cfRule>
  </conditionalFormatting>
  <conditionalFormatting sqref="W68">
    <cfRule type="cellIs" dxfId="5" priority="2" operator="notEqual">
      <formula>$E$82</formula>
    </cfRule>
    <cfRule type="cellIs" dxfId="4" priority="3" operator="greaterThan">
      <formula>$E$82</formula>
    </cfRule>
    <cfRule type="cellIs" dxfId="3" priority="4" operator="notEqual">
      <formula>$E$82</formula>
    </cfRule>
  </conditionalFormatting>
  <conditionalFormatting sqref="Z12:Z44 Z49:Z68">
    <cfRule type="cellIs" dxfId="2" priority="8" operator="lessThan">
      <formula>0</formula>
    </cfRule>
  </conditionalFormatting>
  <conditionalFormatting sqref="AA68">
    <cfRule type="cellIs" dxfId="1" priority="1" operator="notEqual">
      <formula>$O$82</formula>
    </cfRule>
  </conditionalFormatting>
  <conditionalFormatting sqref="AB1:AB1048576">
    <cfRule type="containsText" dxfId="0" priority="13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31" man="1"/>
  </rowBreaks>
  <colBreaks count="6" manualBreakCount="6">
    <brk id="6" max="1048575" man="1"/>
    <brk id="10" max="1048575" man="1"/>
    <brk id="16" max="1048575" man="1"/>
    <brk id="18" max="1048575" man="1"/>
    <brk id="27" max="88" man="1"/>
    <brk id="2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2187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21875" style="50" customWidth="1"/>
    <col min="19" max="19" width="6.109375" style="39" customWidth="1"/>
    <col min="20" max="20" width="31.33203125" style="39" customWidth="1"/>
    <col min="21" max="21" width="17.77734375" style="206" customWidth="1"/>
    <col min="22" max="27" width="18.88671875" style="39" customWidth="1"/>
    <col min="28" max="28" width="24.8867187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19</v>
      </c>
      <c r="B1" s="141"/>
      <c r="C1" s="142"/>
      <c r="E1" s="38"/>
      <c r="K1" s="37" t="s">
        <v>121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62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4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62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62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77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H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07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08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4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114"/>
      <c r="T11" s="79"/>
      <c r="U11" s="90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#3'!V12,"OK","Send in Change Order")</f>
        <v>OK</v>
      </c>
      <c r="S12" s="85">
        <v>1</v>
      </c>
      <c r="T12" s="86" t="str">
        <f>'Request #3'!T12</f>
        <v>Land/Site Grading &amp; Improv.</v>
      </c>
      <c r="U12" s="218">
        <f>'Request #3'!U12</f>
        <v>0</v>
      </c>
      <c r="V12" s="87">
        <f>'Request #3'!V12</f>
        <v>0</v>
      </c>
      <c r="W12" s="88">
        <f>SUMIF(F7:F79,1,E7:E79)</f>
        <v>0</v>
      </c>
      <c r="X12" s="88">
        <f>'Request #3'!Y12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89" t="str">
        <f>IF(W12&gt;='Request #3'!AA12,"OK","Alert,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#3'!V13,"OK","Send in Change Order")</f>
        <v>OK</v>
      </c>
      <c r="S13" s="85">
        <v>2</v>
      </c>
      <c r="T13" s="86" t="str">
        <f>'Request #3'!T13</f>
        <v xml:space="preserve">General Contract </v>
      </c>
      <c r="U13" s="218">
        <f>'Request #3'!U13</f>
        <v>0</v>
      </c>
      <c r="V13" s="87">
        <f>'Request #3'!V13</f>
        <v>0</v>
      </c>
      <c r="W13" s="88">
        <f>SUMIF(F7:F79,2,E7:E79)</f>
        <v>0</v>
      </c>
      <c r="X13" s="88">
        <f>'Request #3'!Y13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89" t="str">
        <f>IF(W13&gt;='Request #3'!AA13,"OK","Alert,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#3'!V14,"OK","Send in Change Order")</f>
        <v>OK</v>
      </c>
      <c r="S14" s="85">
        <v>3</v>
      </c>
      <c r="T14" s="86" t="str">
        <f>'Request #3'!T14</f>
        <v>Designer Contract</v>
      </c>
      <c r="U14" s="218">
        <f>'Request #3'!U14</f>
        <v>0</v>
      </c>
      <c r="V14" s="87">
        <f>'Request #3'!V14</f>
        <v>0</v>
      </c>
      <c r="W14" s="88">
        <f>SUMIF(F7:F79,3,E7:E79)</f>
        <v>0</v>
      </c>
      <c r="X14" s="88">
        <f>'Request #3'!Y14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89" t="str">
        <f>IF(W14&gt;='Request #3'!AA14,"OK","Alert,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#3'!V15,"OK","Send in Change Order")</f>
        <v>OK</v>
      </c>
      <c r="S15" s="85">
        <v>4</v>
      </c>
      <c r="T15" s="86" t="str">
        <f>'Request #3'!T15</f>
        <v>Designer Reimbursables</v>
      </c>
      <c r="U15" s="218">
        <f>'Request #3'!U15</f>
        <v>0</v>
      </c>
      <c r="V15" s="87">
        <f>'Request #3'!V15</f>
        <v>0</v>
      </c>
      <c r="W15" s="88">
        <f>SUMIF(F7:F79,4,E7:E79)</f>
        <v>0</v>
      </c>
      <c r="X15" s="88">
        <f>'Request #3'!Y15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89" t="str">
        <f>IF(W15&gt;='Request #3'!AA15,"OK","Alert,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#3'!V16,"OK","Send in Change Order")</f>
        <v>OK</v>
      </c>
      <c r="S16" s="85">
        <v>5</v>
      </c>
      <c r="T16" s="86" t="str">
        <f>'Request #3'!T16</f>
        <v>Other Contracts</v>
      </c>
      <c r="U16" s="218">
        <f>'Request #3'!U16</f>
        <v>0</v>
      </c>
      <c r="V16" s="87">
        <f>'Request #3'!V16</f>
        <v>0</v>
      </c>
      <c r="W16" s="88">
        <f>SUMIF(F7:F79,5,E7:E79)</f>
        <v>0</v>
      </c>
      <c r="X16" s="88">
        <f>'Request #3'!Y16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89" t="str">
        <f>IF(W16&gt;='Request #3'!AA16,"OK","Alert,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#3'!V17,"OK","Send in Change Order")</f>
        <v>OK</v>
      </c>
      <c r="S17" s="85">
        <v>6</v>
      </c>
      <c r="T17" s="86" t="str">
        <f>'Request #3'!T17</f>
        <v>Other Contracts</v>
      </c>
      <c r="U17" s="218">
        <f>'Request #3'!U17</f>
        <v>0</v>
      </c>
      <c r="V17" s="87">
        <f>'Request #3'!V17</f>
        <v>0</v>
      </c>
      <c r="W17" s="88">
        <f>SUMIF(F7:F79,6,E7:E79)</f>
        <v>0</v>
      </c>
      <c r="X17" s="88">
        <f>'Request #3'!Y17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89" t="str">
        <f>IF(W17&gt;='Request #3'!AA17,"OK","Alert,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#3'!V18,"OK","Send in Change Order")</f>
        <v>OK</v>
      </c>
      <c r="S18" s="85">
        <v>7</v>
      </c>
      <c r="T18" s="86" t="str">
        <f>'Request #3'!T18</f>
        <v>Other Contracts</v>
      </c>
      <c r="U18" s="218">
        <f>'Request #3'!U18</f>
        <v>0</v>
      </c>
      <c r="V18" s="87">
        <f>'Request #3'!V18</f>
        <v>0</v>
      </c>
      <c r="W18" s="88">
        <f>SUMIF(F7:F79,7,E7:E79)</f>
        <v>0</v>
      </c>
      <c r="X18" s="88">
        <f>'Request #3'!Y18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89" t="str">
        <f>IF(W18&gt;='Request #3'!AA18,"OK","Alert,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#3'!V19,"OK","Send in Change Order")</f>
        <v>OK</v>
      </c>
      <c r="S19" s="85">
        <v>8</v>
      </c>
      <c r="T19" s="86" t="str">
        <f>'Request #3'!T19</f>
        <v>Other Contracts</v>
      </c>
      <c r="U19" s="218">
        <f>'Request #3'!U19</f>
        <v>0</v>
      </c>
      <c r="V19" s="87">
        <f>'Request #3'!V19</f>
        <v>0</v>
      </c>
      <c r="W19" s="88">
        <f>SUMIF(F7:F79,8,E7:E79)</f>
        <v>0</v>
      </c>
      <c r="X19" s="88">
        <f>'Request #3'!Y19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89" t="str">
        <f>IF(W19&gt;='Request #3'!AA19,"OK","Alert,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#3'!V20,"OK","Send in Change Order")</f>
        <v>OK</v>
      </c>
      <c r="S20" s="85">
        <v>9</v>
      </c>
      <c r="T20" s="86" t="str">
        <f>'Request #3'!T20</f>
        <v>Other Contracts</v>
      </c>
      <c r="U20" s="218">
        <f>'Request #3'!U20</f>
        <v>0</v>
      </c>
      <c r="V20" s="87">
        <f>'Request #3'!V20</f>
        <v>0</v>
      </c>
      <c r="W20" s="88">
        <f>SUMIF(F7:F79,9,E7:E79)</f>
        <v>0</v>
      </c>
      <c r="X20" s="88">
        <f>'Request #3'!Y20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89" t="str">
        <f>IF(W20&gt;='Request #3'!AA20,"OK","Alert,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#3'!V21,"OK","Send in Change Order")</f>
        <v>OK</v>
      </c>
      <c r="S21" s="85">
        <v>10</v>
      </c>
      <c r="T21" s="86" t="str">
        <f>'Request #3'!T21</f>
        <v>Other Contracts</v>
      </c>
      <c r="U21" s="218">
        <f>'Request #3'!U21</f>
        <v>0</v>
      </c>
      <c r="V21" s="87">
        <f>'Request #3'!V21</f>
        <v>0</v>
      </c>
      <c r="W21" s="88">
        <f>SUMIF(F7:F79,10,E7:E79)</f>
        <v>0</v>
      </c>
      <c r="X21" s="88">
        <f>'Request #3'!Y21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89" t="str">
        <f>IF(W21&gt;='Request #3'!AA21,"OK","Alert,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#3'!V22,"OK","Send in Change Order")</f>
        <v>OK</v>
      </c>
      <c r="S22" s="85">
        <v>11</v>
      </c>
      <c r="T22" s="86" t="str">
        <f>'Request #3'!T22</f>
        <v>Other Contracts</v>
      </c>
      <c r="U22" s="218">
        <f>'Request #3'!U22</f>
        <v>0</v>
      </c>
      <c r="V22" s="87">
        <f>'Request #3'!V22</f>
        <v>0</v>
      </c>
      <c r="W22" s="88">
        <f>SUMIF(F7:F79,11,E7:E79)</f>
        <v>0</v>
      </c>
      <c r="X22" s="88">
        <f>'Request #3'!Y22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89" t="str">
        <f>IF(W22&gt;='Request #3'!AA22,"OK","Alert,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#3'!V23,"OK","Send in Change Order")</f>
        <v>OK</v>
      </c>
      <c r="S23" s="85">
        <v>12</v>
      </c>
      <c r="T23" s="86" t="str">
        <f>'Request #3'!T23</f>
        <v>Other Contracts</v>
      </c>
      <c r="U23" s="218">
        <f>'Request #3'!U23</f>
        <v>0</v>
      </c>
      <c r="V23" s="87">
        <f>'Request #3'!V23</f>
        <v>0</v>
      </c>
      <c r="W23" s="88">
        <f>SUMIF(F7:F79,12,E7:E79)</f>
        <v>0</v>
      </c>
      <c r="X23" s="88">
        <f>'Request #3'!Y23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89" t="str">
        <f>IF(W23&gt;='Request #3'!AA23,"OK","Alert,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ref="I24:I62" si="4">U29</f>
        <v>0</v>
      </c>
      <c r="K24" s="159"/>
      <c r="L24" s="157"/>
      <c r="M24" s="157"/>
      <c r="N24" s="154"/>
      <c r="O24" s="155"/>
      <c r="P24" s="158"/>
      <c r="R24" s="50" t="str">
        <f>IF(V24='Request #3'!V24,"OK","Send in Change Order")</f>
        <v>OK</v>
      </c>
      <c r="S24" s="85">
        <v>13</v>
      </c>
      <c r="T24" s="86" t="str">
        <f>'Request #3'!T24</f>
        <v>Other Contracts</v>
      </c>
      <c r="U24" s="218">
        <f>'Request #3'!U24</f>
        <v>0</v>
      </c>
      <c r="V24" s="87">
        <f>'Request #3'!V24</f>
        <v>0</v>
      </c>
      <c r="W24" s="88">
        <f>SUMIF(F7:F79,13,E7:E79)</f>
        <v>0</v>
      </c>
      <c r="X24" s="88">
        <f>'Request #3'!Y24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89" t="str">
        <f>IF(W24&gt;='Request #3'!AA24,"OK","Alert,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H40" si="5">S30</f>
        <v>19</v>
      </c>
      <c r="H25" s="205" t="str">
        <f t="shared" si="5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#3'!V25,"OK","Send in Change Order")</f>
        <v>OK</v>
      </c>
      <c r="S25" s="85">
        <v>14</v>
      </c>
      <c r="T25" s="86" t="str">
        <f>'Request #3'!T25</f>
        <v>Other Contracts</v>
      </c>
      <c r="U25" s="218">
        <f>'Request #3'!U25</f>
        <v>0</v>
      </c>
      <c r="V25" s="87">
        <f>'Request #3'!V25</f>
        <v>0</v>
      </c>
      <c r="W25" s="88">
        <f>SUMIF(F7:F79,14,E7:E79)</f>
        <v>0</v>
      </c>
      <c r="X25" s="88">
        <f>'Request #3'!Y25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89" t="str">
        <f>IF(W25&gt;='Request #3'!AA25,"OK","Alert,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5"/>
        <v>20</v>
      </c>
      <c r="H26" s="205" t="str">
        <f t="shared" si="5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#3'!V26,"OK","Send in Change Order")</f>
        <v>OK</v>
      </c>
      <c r="S26" s="85">
        <v>15</v>
      </c>
      <c r="T26" s="86" t="str">
        <f>'Request #3'!T26</f>
        <v>Other Contracts</v>
      </c>
      <c r="U26" s="218">
        <f>'Request #3'!U26</f>
        <v>0</v>
      </c>
      <c r="V26" s="87">
        <f>'Request #3'!V26</f>
        <v>0</v>
      </c>
      <c r="W26" s="88">
        <f>SUMIF(F7:F79,15,E7:E79)</f>
        <v>0</v>
      </c>
      <c r="X26" s="88">
        <f>'Request #3'!Y26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89" t="str">
        <f>IF(W26&gt;='Request #3'!AA26,"OK","Alert,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5"/>
        <v>21</v>
      </c>
      <c r="H27" s="205" t="str">
        <f t="shared" si="5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#3'!V27,"OK","Send in Change Order")</f>
        <v>OK</v>
      </c>
      <c r="S27" s="85">
        <v>16</v>
      </c>
      <c r="T27" s="86" t="str">
        <f>'Request #3'!T27</f>
        <v>Other Contracts</v>
      </c>
      <c r="U27" s="218">
        <f>'Request #3'!U27</f>
        <v>0</v>
      </c>
      <c r="V27" s="87">
        <f>'Request #3'!V27</f>
        <v>0</v>
      </c>
      <c r="W27" s="88">
        <f>SUMIF(F7:F79,16,E7:E79)</f>
        <v>0</v>
      </c>
      <c r="X27" s="88">
        <f>'Request #3'!Y27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89" t="str">
        <f>IF(W27&gt;='Request #3'!AA27,"OK","Alert,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5"/>
        <v>22</v>
      </c>
      <c r="H28" s="205" t="str">
        <f t="shared" si="5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#3'!V28,"OK","Send in Change Order")</f>
        <v>OK</v>
      </c>
      <c r="S28" s="85">
        <v>17</v>
      </c>
      <c r="T28" s="86" t="str">
        <f>'Request #3'!T28</f>
        <v>Other Contracts</v>
      </c>
      <c r="U28" s="218">
        <f>'Request #3'!U28</f>
        <v>0</v>
      </c>
      <c r="V28" s="87">
        <f>'Request #3'!V28</f>
        <v>0</v>
      </c>
      <c r="W28" s="88">
        <f>SUMIF(F7:F79,17,E7:E79)</f>
        <v>0</v>
      </c>
      <c r="X28" s="88">
        <f>'Request #3'!Y28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89" t="str">
        <f>IF(W28&gt;='Request #3'!AA28,"OK","Alert,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5"/>
        <v>23</v>
      </c>
      <c r="H29" s="205" t="str">
        <f t="shared" si="5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#3'!V29,"OK","Send in Change Order")</f>
        <v>OK</v>
      </c>
      <c r="S29" s="85">
        <v>18</v>
      </c>
      <c r="T29" s="86" t="str">
        <f>'Request #3'!T29</f>
        <v>Other Contracts</v>
      </c>
      <c r="U29" s="218">
        <f>'Request #3'!U29</f>
        <v>0</v>
      </c>
      <c r="V29" s="87">
        <f>'Request #3'!V29</f>
        <v>0</v>
      </c>
      <c r="W29" s="88">
        <f>SUMIF(F7:F79,18,E7:E79)</f>
        <v>0</v>
      </c>
      <c r="X29" s="88">
        <f>'Request #3'!Y29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89" t="str">
        <f>IF(W29&gt;='Request #3'!AA29,"OK","Alert,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5"/>
        <v>24</v>
      </c>
      <c r="H30" s="205" t="str">
        <f t="shared" si="5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#3'!V30,"OK","Send in Change Order")</f>
        <v>OK</v>
      </c>
      <c r="S30" s="85">
        <v>19</v>
      </c>
      <c r="T30" s="86" t="str">
        <f>'Request #3'!T30</f>
        <v>Other Contracts</v>
      </c>
      <c r="U30" s="218">
        <f>'Request #3'!U30</f>
        <v>0</v>
      </c>
      <c r="V30" s="87">
        <f>'Request #3'!V30</f>
        <v>0</v>
      </c>
      <c r="W30" s="88">
        <f>SUMIF(F7:F79,19,E7:E79)</f>
        <v>0</v>
      </c>
      <c r="X30" s="88">
        <f>'Request #3'!Y30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89" t="str">
        <f>IF(W30&gt;='Request #3'!AA30,"OK","Alert,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5"/>
        <v>25</v>
      </c>
      <c r="H31" s="205" t="str">
        <f t="shared" si="5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#3'!V31,"OK","Send in Change Order")</f>
        <v>OK</v>
      </c>
      <c r="S31" s="85">
        <v>20</v>
      </c>
      <c r="T31" s="86" t="str">
        <f>'Request #3'!T31</f>
        <v>Other Contracts</v>
      </c>
      <c r="U31" s="218">
        <f>'Request #3'!U31</f>
        <v>0</v>
      </c>
      <c r="V31" s="87">
        <f>'Request #3'!V31</f>
        <v>0</v>
      </c>
      <c r="W31" s="88">
        <f>SUMIF(F7:F79,20,E7:E79)</f>
        <v>0</v>
      </c>
      <c r="X31" s="88">
        <f>'Request #3'!Y31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89" t="str">
        <f>IF(W31&gt;='Request #3'!AA31,"OK","Alert,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5"/>
        <v>26</v>
      </c>
      <c r="H32" s="205" t="str">
        <f t="shared" si="5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#3'!V32,"OK","Send in Change Order")</f>
        <v>OK</v>
      </c>
      <c r="S32" s="85">
        <v>21</v>
      </c>
      <c r="T32" s="86" t="str">
        <f>'Request #3'!T32</f>
        <v>Other Contracts</v>
      </c>
      <c r="U32" s="218">
        <f>'Request #3'!U32</f>
        <v>0</v>
      </c>
      <c r="V32" s="87">
        <f>'Request #3'!V32</f>
        <v>0</v>
      </c>
      <c r="W32" s="88">
        <f>SUMIF(F7:F79,21,E7:E79)</f>
        <v>0</v>
      </c>
      <c r="X32" s="88">
        <f>'Request #3'!Y32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89" t="str">
        <f>IF(W32&gt;='Request #3'!AA32,"OK","Alert,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5"/>
        <v>27</v>
      </c>
      <c r="H33" s="205" t="str">
        <f t="shared" si="5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#3'!V33,"OK","Send in Change Order")</f>
        <v>OK</v>
      </c>
      <c r="S33" s="85">
        <v>22</v>
      </c>
      <c r="T33" s="86" t="str">
        <f>'Request #3'!T33</f>
        <v>Other Contracts</v>
      </c>
      <c r="U33" s="218">
        <f>'Request #3'!U33</f>
        <v>0</v>
      </c>
      <c r="V33" s="87">
        <f>'Request #3'!V33</f>
        <v>0</v>
      </c>
      <c r="W33" s="88">
        <f>SUMIF(F7:F79,22,E7:E79)</f>
        <v>0</v>
      </c>
      <c r="X33" s="88">
        <f>'Request #3'!Y33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89" t="str">
        <f>IF(W33&gt;='Request #3'!AA33,"OK","Alert,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5"/>
        <v>28</v>
      </c>
      <c r="H34" s="205" t="str">
        <f t="shared" si="5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#3'!V34,"OK","Send in Change Order")</f>
        <v>OK</v>
      </c>
      <c r="S34" s="85">
        <v>23</v>
      </c>
      <c r="T34" s="86" t="str">
        <f>'Request #3'!T34</f>
        <v>Other Contracts</v>
      </c>
      <c r="U34" s="218">
        <f>'Request #3'!U34</f>
        <v>0</v>
      </c>
      <c r="V34" s="87">
        <f>'Request #3'!V34</f>
        <v>0</v>
      </c>
      <c r="W34" s="88">
        <f>SUMIF(F7:F79,23,E7:E79)</f>
        <v>0</v>
      </c>
      <c r="X34" s="88">
        <f>'Request #3'!Y34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89" t="str">
        <f>IF(W34&gt;='Request #3'!AA34,"OK","Alert,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5"/>
        <v>29</v>
      </c>
      <c r="H35" s="205" t="str">
        <f t="shared" si="5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#3'!V35,"OK","Send in Change Order")</f>
        <v>OK</v>
      </c>
      <c r="S35" s="85">
        <v>24</v>
      </c>
      <c r="T35" s="86" t="str">
        <f>'Request #3'!T35</f>
        <v>Other Contracts</v>
      </c>
      <c r="U35" s="218">
        <f>'Request #3'!U35</f>
        <v>0</v>
      </c>
      <c r="V35" s="87">
        <f>'Request #3'!V35</f>
        <v>0</v>
      </c>
      <c r="W35" s="88">
        <f>SUMIF(F7:F79,24,E7:E79)</f>
        <v>0</v>
      </c>
      <c r="X35" s="88">
        <f>'Request #3'!Y35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89" t="str">
        <f>IF(W35&gt;='Request #3'!AA35,"OK","Alert,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5"/>
        <v>30</v>
      </c>
      <c r="H36" s="205" t="str">
        <f t="shared" si="5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#3'!V36,"OK","Send in Change Order")</f>
        <v>OK</v>
      </c>
      <c r="S36" s="85">
        <v>25</v>
      </c>
      <c r="T36" s="86" t="str">
        <f>'Request #3'!T36</f>
        <v>Other Contracts</v>
      </c>
      <c r="U36" s="218">
        <f>'Request #3'!U36</f>
        <v>0</v>
      </c>
      <c r="V36" s="87">
        <f>'Request #3'!V36</f>
        <v>0</v>
      </c>
      <c r="W36" s="88">
        <f>SUMIF(F7:F79,25,E7:E79)</f>
        <v>0</v>
      </c>
      <c r="X36" s="88">
        <f>'Request #3'!Y36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89" t="str">
        <f>IF(W36&gt;='Request #3'!AA36,"OK","Alert,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5"/>
        <v>31</v>
      </c>
      <c r="H37" s="205" t="str">
        <f t="shared" si="5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#3'!V37,"OK","Send in Change Order")</f>
        <v>OK</v>
      </c>
      <c r="S37" s="85">
        <v>26</v>
      </c>
      <c r="T37" s="86" t="str">
        <f>'Request #3'!T37</f>
        <v>Other Fees</v>
      </c>
      <c r="U37" s="218">
        <f>'Request #3'!U37</f>
        <v>0</v>
      </c>
      <c r="V37" s="87">
        <f>'Request #3'!V37</f>
        <v>0</v>
      </c>
      <c r="W37" s="88">
        <f>SUMIF(F7:F79,26,E7:E79)</f>
        <v>0</v>
      </c>
      <c r="X37" s="88">
        <f>'Request #3'!Y37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89" t="str">
        <f>IF(W37&gt;='Request #3'!AA37,"OK","Alert,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5"/>
        <v>32</v>
      </c>
      <c r="H38" s="205" t="str">
        <f t="shared" si="5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#3'!V38,"OK","Send in Change Order")</f>
        <v>OK</v>
      </c>
      <c r="S38" s="85">
        <v>27</v>
      </c>
      <c r="T38" s="86" t="str">
        <f>'Request #3'!T38</f>
        <v>Other Fees</v>
      </c>
      <c r="U38" s="218">
        <f>'Request #3'!U38</f>
        <v>0</v>
      </c>
      <c r="V38" s="87">
        <f>'Request #3'!V38</f>
        <v>0</v>
      </c>
      <c r="W38" s="88">
        <f>SUMIF(F7:F79,27,E7:E79)</f>
        <v>0</v>
      </c>
      <c r="X38" s="88">
        <f>'Request #3'!Y38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89" t="str">
        <f>IF(W38&gt;='Request #3'!AA38,"OK","Alert,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5"/>
        <v>33</v>
      </c>
      <c r="H39" s="205" t="str">
        <f t="shared" si="5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#3'!V39,"OK","Send in Change Order")</f>
        <v>OK</v>
      </c>
      <c r="S39" s="85">
        <v>28</v>
      </c>
      <c r="T39" s="86" t="str">
        <f>'Request #3'!T39</f>
        <v>Other Fees</v>
      </c>
      <c r="U39" s="218">
        <f>'Request #3'!U39</f>
        <v>0</v>
      </c>
      <c r="V39" s="87">
        <f>'Request #3'!V39</f>
        <v>0</v>
      </c>
      <c r="W39" s="88">
        <f>SUMIF(F7:F79,28,E7:E79)</f>
        <v>0</v>
      </c>
      <c r="X39" s="88">
        <f>'Request #3'!Y39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89" t="str">
        <f>IF(W39&gt;='Request #3'!AA39,"OK","Alert,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5"/>
        <v>0</v>
      </c>
      <c r="H40" s="205">
        <f t="shared" si="5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#3'!V40,"OK","Send in Change Order")</f>
        <v>OK</v>
      </c>
      <c r="S40" s="85">
        <v>29</v>
      </c>
      <c r="T40" s="86" t="str">
        <f>'Request #3'!T40</f>
        <v>Other Fees</v>
      </c>
      <c r="U40" s="218">
        <f>'Request #3'!U40</f>
        <v>0</v>
      </c>
      <c r="V40" s="87">
        <f>'Request #3'!V40</f>
        <v>0</v>
      </c>
      <c r="W40" s="88">
        <f>SUMIF(F7:F79,29,E7:E79)</f>
        <v>0</v>
      </c>
      <c r="X40" s="88">
        <f>'Request #3'!Y40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89" t="str">
        <f>IF(W40&gt;='Request #3'!AA40,"OK","Alert,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H56" si="6">S46</f>
        <v>Cost</v>
      </c>
      <c r="H41" s="205">
        <f t="shared" si="6"/>
        <v>0</v>
      </c>
      <c r="I41" s="247">
        <f t="shared" si="4"/>
        <v>0</v>
      </c>
      <c r="K41" s="159"/>
      <c r="L41" s="157"/>
      <c r="M41" s="157"/>
      <c r="N41" s="154"/>
      <c r="O41" s="155"/>
      <c r="P41" s="158"/>
      <c r="R41" s="50" t="str">
        <f>IF(V41='Request #3'!V41,"OK","Send in Change Order")</f>
        <v>OK</v>
      </c>
      <c r="S41" s="85">
        <v>30</v>
      </c>
      <c r="T41" s="86" t="str">
        <f>'Request #3'!T41</f>
        <v>Other Fees</v>
      </c>
      <c r="U41" s="218">
        <f>'Request #3'!U41</f>
        <v>0</v>
      </c>
      <c r="V41" s="87">
        <f>'Request #3'!V41</f>
        <v>0</v>
      </c>
      <c r="W41" s="88">
        <f>SUMIF(F7:F79,30,E7:E79)</f>
        <v>0</v>
      </c>
      <c r="X41" s="88">
        <f>'Request #3'!Y41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89" t="str">
        <f>IF(W41&gt;='Request #3'!AA41,"OK","Alert,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6"/>
        <v>Item</v>
      </c>
      <c r="H42" s="205" t="str">
        <f t="shared" si="6"/>
        <v>Account Name</v>
      </c>
      <c r="I42" s="247">
        <f t="shared" si="4"/>
        <v>0</v>
      </c>
      <c r="K42" s="159"/>
      <c r="L42" s="157"/>
      <c r="M42" s="157"/>
      <c r="N42" s="154"/>
      <c r="O42" s="155"/>
      <c r="P42" s="158"/>
      <c r="R42" s="50" t="str">
        <f>IF(V42='Request #3'!V42,"OK","Send in Change Order")</f>
        <v>OK</v>
      </c>
      <c r="S42" s="85">
        <v>31</v>
      </c>
      <c r="T42" s="86" t="str">
        <f>'Request #3'!T42</f>
        <v>Other Fees</v>
      </c>
      <c r="U42" s="218">
        <f>'Request #3'!U42</f>
        <v>0</v>
      </c>
      <c r="V42" s="87">
        <f>'Request #3'!V42</f>
        <v>0</v>
      </c>
      <c r="W42" s="88">
        <f>SUMIF(F7:F79,31,E7:E79)</f>
        <v>0</v>
      </c>
      <c r="X42" s="88">
        <f>'Request #3'!Y42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89" t="str">
        <f>IF(W42&gt;='Request #3'!AA42,"OK","Alert,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6"/>
        <v>0</v>
      </c>
      <c r="H43" s="205">
        <f t="shared" si="6"/>
        <v>0</v>
      </c>
      <c r="I43" s="247">
        <f t="shared" si="4"/>
        <v>0</v>
      </c>
      <c r="K43" s="159"/>
      <c r="L43" s="157"/>
      <c r="M43" s="157"/>
      <c r="N43" s="154"/>
      <c r="O43" s="155"/>
      <c r="P43" s="158"/>
      <c r="R43" s="50" t="str">
        <f>IF(V43='Request #3'!V43,"OK","Send in Change Order")</f>
        <v>OK</v>
      </c>
      <c r="S43" s="85">
        <v>32</v>
      </c>
      <c r="T43" s="86" t="str">
        <f>'Request #3'!T43</f>
        <v>Other Fees</v>
      </c>
      <c r="U43" s="218">
        <f>'Request #3'!U43</f>
        <v>0</v>
      </c>
      <c r="V43" s="87">
        <f>'Request #3'!V43</f>
        <v>0</v>
      </c>
      <c r="W43" s="88">
        <f>SUMIF(F7:F79,32,E7:E79)</f>
        <v>0</v>
      </c>
      <c r="X43" s="88">
        <f>'Request #3'!Y43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89" t="str">
        <f>IF(W43&gt;='Request #3'!AA43,"OK","Alert,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6"/>
        <v>38</v>
      </c>
      <c r="H44" s="205" t="str">
        <f t="shared" si="6"/>
        <v>Other Fees</v>
      </c>
      <c r="I44" s="247">
        <f t="shared" si="4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#3'!V44,"OK","Send in Change Order")</f>
        <v>OK</v>
      </c>
      <c r="S44" s="85">
        <v>33</v>
      </c>
      <c r="T44" s="86" t="str">
        <f>'Request #3'!T44</f>
        <v>Other Fees</v>
      </c>
      <c r="U44" s="218">
        <f>'Request #3'!U44</f>
        <v>0</v>
      </c>
      <c r="V44" s="87">
        <f>'Request #3'!V44</f>
        <v>0</v>
      </c>
      <c r="W44" s="88">
        <f>SUMIF(F7:F79,33,E7:E79)</f>
        <v>0</v>
      </c>
      <c r="X44" s="88">
        <f>'Request #3'!Y44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89" t="str">
        <f>IF(W44&gt;='Request #3'!AA44,"OK","Alert,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6"/>
        <v>39</v>
      </c>
      <c r="H45" s="205" t="str">
        <f t="shared" si="6"/>
        <v>Other Fees</v>
      </c>
      <c r="I45" s="247">
        <f t="shared" si="4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6"/>
        <v>40</v>
      </c>
      <c r="H46" s="205" t="str">
        <f t="shared" si="6"/>
        <v>Other Fees</v>
      </c>
      <c r="I46" s="247">
        <f t="shared" si="4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6"/>
        <v>41</v>
      </c>
      <c r="H47" s="205" t="str">
        <f t="shared" si="6"/>
        <v>Other Fees</v>
      </c>
      <c r="I47" s="247">
        <f t="shared" si="4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6"/>
        <v>42</v>
      </c>
      <c r="H48" s="205" t="str">
        <f t="shared" si="6"/>
        <v>Other Fees</v>
      </c>
      <c r="I48" s="247">
        <f t="shared" si="4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6"/>
        <v>43</v>
      </c>
      <c r="H49" s="205" t="str">
        <f t="shared" si="6"/>
        <v>Other Fees</v>
      </c>
      <c r="I49" s="247">
        <f t="shared" si="4"/>
        <v>0</v>
      </c>
      <c r="K49" s="159"/>
      <c r="L49" s="157"/>
      <c r="M49" s="157"/>
      <c r="N49" s="154"/>
      <c r="O49" s="155"/>
      <c r="P49" s="158"/>
      <c r="R49" s="50" t="str">
        <f>IF(V49='Request #3'!V49,"OK","Send in Change Order")</f>
        <v>OK</v>
      </c>
      <c r="S49" s="85">
        <v>38</v>
      </c>
      <c r="T49" s="86" t="str">
        <f>'Request #3'!T49</f>
        <v>Other Fees</v>
      </c>
      <c r="U49" s="218">
        <f>'Request #3'!U49</f>
        <v>0</v>
      </c>
      <c r="V49" s="87">
        <f>'Request #3'!V49</f>
        <v>0</v>
      </c>
      <c r="W49" s="88">
        <f>SUMIF(F7:F79,38,E7:E79)</f>
        <v>0</v>
      </c>
      <c r="X49" s="88">
        <f>'Request #3'!Y49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89" t="str">
        <f>IF(W49&gt;='Request #3'!AA49,"OK","Alert,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6"/>
        <v>44</v>
      </c>
      <c r="H50" s="205" t="str">
        <f t="shared" si="6"/>
        <v>Other Fees</v>
      </c>
      <c r="I50" s="247">
        <f t="shared" si="4"/>
        <v>0</v>
      </c>
      <c r="K50" s="159"/>
      <c r="L50" s="157"/>
      <c r="M50" s="157"/>
      <c r="N50" s="154"/>
      <c r="O50" s="155"/>
      <c r="P50" s="158"/>
      <c r="R50" s="50" t="str">
        <f>IF(V50='Request #3'!V50,"OK","Send in Change Order")</f>
        <v>OK</v>
      </c>
      <c r="S50" s="85">
        <v>39</v>
      </c>
      <c r="T50" s="86" t="str">
        <f>'Request #3'!T50</f>
        <v>Other Fees</v>
      </c>
      <c r="U50" s="218">
        <f>'Request #3'!U50</f>
        <v>0</v>
      </c>
      <c r="V50" s="87">
        <f>'Request #3'!V50</f>
        <v>0</v>
      </c>
      <c r="W50" s="88">
        <f>SUMIF(F7:F79,39,E7:E79)</f>
        <v>0</v>
      </c>
      <c r="X50" s="88">
        <f>'Request #3'!Y50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89" t="str">
        <f>IF(W50&gt;='Request #3'!AA50,"OK","Alert,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6"/>
        <v>45</v>
      </c>
      <c r="H51" s="205" t="str">
        <f t="shared" si="6"/>
        <v>Other Fees</v>
      </c>
      <c r="I51" s="247">
        <f t="shared" si="4"/>
        <v>0</v>
      </c>
      <c r="K51" s="159"/>
      <c r="L51" s="157"/>
      <c r="M51" s="157"/>
      <c r="N51" s="154"/>
      <c r="O51" s="155"/>
      <c r="P51" s="158"/>
      <c r="R51" s="50" t="str">
        <f>IF(V51='Request #3'!V51,"OK","Send in Change Order")</f>
        <v>OK</v>
      </c>
      <c r="S51" s="85">
        <v>40</v>
      </c>
      <c r="T51" s="86" t="str">
        <f>'Request #3'!T51</f>
        <v>Other Fees</v>
      </c>
      <c r="U51" s="218">
        <f>'Request #3'!U51</f>
        <v>0</v>
      </c>
      <c r="V51" s="87">
        <f>'Request #3'!V51</f>
        <v>0</v>
      </c>
      <c r="W51" s="88">
        <f>SUMIF(F7:F79,40,E7:E79)</f>
        <v>0</v>
      </c>
      <c r="X51" s="88">
        <f>'Request #3'!Y51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89" t="str">
        <f>IF(W51&gt;='Request #3'!AA51,"OK","Alert,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6"/>
        <v>46</v>
      </c>
      <c r="H52" s="205" t="str">
        <f t="shared" si="6"/>
        <v>Other Fees</v>
      </c>
      <c r="I52" s="247">
        <f t="shared" si="4"/>
        <v>0</v>
      </c>
      <c r="K52" s="159"/>
      <c r="L52" s="157"/>
      <c r="M52" s="157"/>
      <c r="N52" s="154"/>
      <c r="O52" s="155"/>
      <c r="P52" s="158"/>
      <c r="R52" s="50" t="str">
        <f>IF(V52='Request #3'!V52,"OK","Send in Change Order")</f>
        <v>OK</v>
      </c>
      <c r="S52" s="85">
        <v>41</v>
      </c>
      <c r="T52" s="86" t="str">
        <f>'Request #3'!T52</f>
        <v>Other Fees</v>
      </c>
      <c r="U52" s="218">
        <f>'Request #3'!U52</f>
        <v>0</v>
      </c>
      <c r="V52" s="87">
        <f>'Request #3'!V52</f>
        <v>0</v>
      </c>
      <c r="W52" s="88">
        <f>SUMIF(F7:F79,41,E7:E79)</f>
        <v>0</v>
      </c>
      <c r="X52" s="88">
        <f>'Request #3'!Y52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89" t="str">
        <f>IF(W52&gt;='Request #3'!AA52,"OK","Alert,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6"/>
        <v>47</v>
      </c>
      <c r="H53" s="205" t="str">
        <f t="shared" si="6"/>
        <v>Other Fees</v>
      </c>
      <c r="I53" s="247">
        <f t="shared" si="4"/>
        <v>0</v>
      </c>
      <c r="K53" s="159"/>
      <c r="L53" s="157"/>
      <c r="M53" s="157"/>
      <c r="N53" s="154"/>
      <c r="O53" s="155"/>
      <c r="P53" s="158"/>
      <c r="R53" s="50" t="str">
        <f>IF(V53='Request #3'!V53,"OK","Send in Change Order")</f>
        <v>OK</v>
      </c>
      <c r="S53" s="85">
        <v>42</v>
      </c>
      <c r="T53" s="86" t="str">
        <f>'Request #3'!T53</f>
        <v>Other Fees</v>
      </c>
      <c r="U53" s="218">
        <f>'Request #3'!U53</f>
        <v>0</v>
      </c>
      <c r="V53" s="87">
        <f>'Request #3'!V53</f>
        <v>0</v>
      </c>
      <c r="W53" s="88">
        <f>SUMIF(F7:F79,42,E7:E79)</f>
        <v>0</v>
      </c>
      <c r="X53" s="88">
        <f>'Request #3'!Y53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89" t="str">
        <f>IF(W53&gt;='Request #3'!AA53,"OK","Alert,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6"/>
        <v>48</v>
      </c>
      <c r="H54" s="205" t="str">
        <f t="shared" si="6"/>
        <v>Other Fees</v>
      </c>
      <c r="I54" s="247">
        <f t="shared" si="4"/>
        <v>0</v>
      </c>
      <c r="K54" s="159"/>
      <c r="L54" s="157"/>
      <c r="M54" s="157"/>
      <c r="N54" s="154"/>
      <c r="O54" s="155"/>
      <c r="P54" s="158"/>
      <c r="R54" s="50" t="str">
        <f>IF(V54='Request #3'!V54,"OK","Send in Change Order")</f>
        <v>OK</v>
      </c>
      <c r="S54" s="85">
        <v>43</v>
      </c>
      <c r="T54" s="86" t="str">
        <f>'Request #3'!T54</f>
        <v>Other Fees</v>
      </c>
      <c r="U54" s="218">
        <f>'Request #3'!U54</f>
        <v>0</v>
      </c>
      <c r="V54" s="87">
        <f>'Request #3'!V54</f>
        <v>0</v>
      </c>
      <c r="W54" s="88">
        <f>SUMIF(F7:F79,43,E7:E79)</f>
        <v>0</v>
      </c>
      <c r="X54" s="88">
        <f>'Request #3'!Y54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89" t="str">
        <f>IF(W54&gt;='Request #3'!AA54,"OK","Alert,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6"/>
        <v>49</v>
      </c>
      <c r="H55" s="205" t="str">
        <f t="shared" si="6"/>
        <v>Other Fees</v>
      </c>
      <c r="I55" s="247">
        <f t="shared" si="4"/>
        <v>0</v>
      </c>
      <c r="K55" s="159"/>
      <c r="L55" s="157"/>
      <c r="M55" s="157"/>
      <c r="N55" s="154"/>
      <c r="O55" s="155"/>
      <c r="P55" s="158"/>
      <c r="R55" s="50" t="str">
        <f>IF(V55='Request #3'!V55,"OK","Send in Change Order")</f>
        <v>OK</v>
      </c>
      <c r="S55" s="85">
        <v>44</v>
      </c>
      <c r="T55" s="86" t="str">
        <f>'Request #3'!T55</f>
        <v>Other Fees</v>
      </c>
      <c r="U55" s="218">
        <f>'Request #3'!U55</f>
        <v>0</v>
      </c>
      <c r="V55" s="87">
        <f>'Request #3'!V55</f>
        <v>0</v>
      </c>
      <c r="W55" s="88">
        <f>SUMIF(F7:F79,44,E7:E79)</f>
        <v>0</v>
      </c>
      <c r="X55" s="88">
        <f>'Request #3'!Y55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89" t="str">
        <f>IF(W55&gt;='Request #3'!AA55,"OK","Alert,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6"/>
        <v>50</v>
      </c>
      <c r="H56" s="205" t="str">
        <f t="shared" si="6"/>
        <v>Other Fees</v>
      </c>
      <c r="I56" s="247">
        <f t="shared" si="4"/>
        <v>0</v>
      </c>
      <c r="K56" s="159"/>
      <c r="L56" s="157"/>
      <c r="M56" s="157"/>
      <c r="N56" s="154"/>
      <c r="O56" s="155"/>
      <c r="P56" s="158"/>
      <c r="R56" s="50" t="str">
        <f>IF(V56='Request #3'!V56,"OK","Send in Change Order")</f>
        <v>OK</v>
      </c>
      <c r="S56" s="85">
        <v>45</v>
      </c>
      <c r="T56" s="86" t="str">
        <f>'Request #3'!T56</f>
        <v>Other Fees</v>
      </c>
      <c r="U56" s="218">
        <f>'Request #3'!U56</f>
        <v>0</v>
      </c>
      <c r="V56" s="87">
        <f>'Request #3'!V56</f>
        <v>0</v>
      </c>
      <c r="W56" s="88">
        <f>SUMIF(F7:F79,45,E7:E79)</f>
        <v>0</v>
      </c>
      <c r="X56" s="88">
        <f>'Request #3'!Y56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89" t="str">
        <f>IF(W56&gt;='Request #3'!AA56,"OK","Alert,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H62" si="7">S62</f>
        <v>51</v>
      </c>
      <c r="H57" s="205" t="str">
        <f t="shared" si="7"/>
        <v>Other Fees</v>
      </c>
      <c r="I57" s="247">
        <f t="shared" si="4"/>
        <v>0</v>
      </c>
      <c r="K57" s="159"/>
      <c r="L57" s="157"/>
      <c r="M57" s="157"/>
      <c r="N57" s="154"/>
      <c r="O57" s="155"/>
      <c r="P57" s="158"/>
      <c r="R57" s="50" t="str">
        <f>IF(V57='Request #3'!V57,"OK","Send in Change Order")</f>
        <v>OK</v>
      </c>
      <c r="S57" s="85">
        <v>46</v>
      </c>
      <c r="T57" s="86" t="str">
        <f>'Request #3'!T57</f>
        <v>Other Fees</v>
      </c>
      <c r="U57" s="218">
        <f>'Request #3'!U57</f>
        <v>0</v>
      </c>
      <c r="V57" s="87">
        <f>'Request #3'!V57</f>
        <v>0</v>
      </c>
      <c r="W57" s="88">
        <f>SUMIF(F7:F79,46,E7:E79)</f>
        <v>0</v>
      </c>
      <c r="X57" s="88">
        <f>'Request #3'!Y57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89" t="str">
        <f>IF(W57&gt;='Request #3'!AA57,"OK","Alert,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7"/>
        <v>52</v>
      </c>
      <c r="H58" s="205" t="str">
        <f t="shared" si="7"/>
        <v>Worked Performed by Owner</v>
      </c>
      <c r="I58" s="247">
        <f t="shared" si="4"/>
        <v>0</v>
      </c>
      <c r="K58" s="159"/>
      <c r="L58" s="157"/>
      <c r="M58" s="157"/>
      <c r="N58" s="154"/>
      <c r="O58" s="155"/>
      <c r="P58" s="158"/>
      <c r="R58" s="50" t="str">
        <f>IF(V58='Request #3'!V58,"OK","Send in Change Order")</f>
        <v>OK</v>
      </c>
      <c r="S58" s="85">
        <v>47</v>
      </c>
      <c r="T58" s="86" t="str">
        <f>'Request #3'!T58</f>
        <v>Other Fees</v>
      </c>
      <c r="U58" s="218">
        <f>'Request #3'!U58</f>
        <v>0</v>
      </c>
      <c r="V58" s="87">
        <f>'Request #3'!V58</f>
        <v>0</v>
      </c>
      <c r="W58" s="88">
        <f>SUMIF(F7:F79,47,E7:E79)</f>
        <v>0</v>
      </c>
      <c r="X58" s="88">
        <f>'Request #3'!Y58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89" t="str">
        <f>IF(W58&gt;='Request #3'!AA58,"OK","Alert,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7"/>
        <v>53</v>
      </c>
      <c r="H59" s="205" t="str">
        <f t="shared" si="7"/>
        <v>Equipment (Major)</v>
      </c>
      <c r="I59" s="247">
        <f t="shared" si="4"/>
        <v>0</v>
      </c>
      <c r="K59" s="159"/>
      <c r="L59" s="157"/>
      <c r="M59" s="157"/>
      <c r="N59" s="154"/>
      <c r="O59" s="155"/>
      <c r="P59" s="158"/>
      <c r="R59" s="50" t="str">
        <f>IF(V59='Request #3'!V59,"OK","Send in Change Order")</f>
        <v>OK</v>
      </c>
      <c r="S59" s="85">
        <v>48</v>
      </c>
      <c r="T59" s="86" t="str">
        <f>'Request #3'!T59</f>
        <v>Other Fees</v>
      </c>
      <c r="U59" s="218">
        <f>'Request #3'!U59</f>
        <v>0</v>
      </c>
      <c r="V59" s="87">
        <f>'Request #3'!V59</f>
        <v>0</v>
      </c>
      <c r="W59" s="88">
        <f>SUMIF(F7:F79,48,E7:E79)</f>
        <v>0</v>
      </c>
      <c r="X59" s="88">
        <f>'Request #3'!Y59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89" t="str">
        <f>IF(W59&gt;='Request #3'!AA59,"OK","Alert,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7"/>
        <v>54</v>
      </c>
      <c r="H60" s="205" t="str">
        <f t="shared" si="7"/>
        <v>Contingency Fund</v>
      </c>
      <c r="I60" s="247">
        <f t="shared" si="4"/>
        <v>0</v>
      </c>
      <c r="K60" s="159"/>
      <c r="L60" s="157"/>
      <c r="M60" s="157"/>
      <c r="N60" s="154"/>
      <c r="O60" s="155"/>
      <c r="P60" s="158"/>
      <c r="R60" s="50" t="str">
        <f>IF(V60='Request #3'!V60,"OK","Send in Change Order")</f>
        <v>OK</v>
      </c>
      <c r="S60" s="85">
        <v>49</v>
      </c>
      <c r="T60" s="86" t="str">
        <f>'Request #3'!T60</f>
        <v>Other Fees</v>
      </c>
      <c r="U60" s="218">
        <f>'Request #3'!U60</f>
        <v>0</v>
      </c>
      <c r="V60" s="87">
        <f>'Request #3'!V60</f>
        <v>0</v>
      </c>
      <c r="W60" s="88">
        <f>SUMIF(F7:F79,49,E7:E79)</f>
        <v>0</v>
      </c>
      <c r="X60" s="88">
        <f>'Request #3'!Y60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89" t="str">
        <f>IF(W60&gt;='Request #3'!AA60,"OK","Alert,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7"/>
        <v>55</v>
      </c>
      <c r="H61" s="205">
        <f t="shared" si="7"/>
        <v>0</v>
      </c>
      <c r="I61" s="247">
        <f t="shared" si="4"/>
        <v>0</v>
      </c>
      <c r="K61" s="159"/>
      <c r="L61" s="157"/>
      <c r="M61" s="157"/>
      <c r="N61" s="154"/>
      <c r="O61" s="155"/>
      <c r="P61" s="158"/>
      <c r="R61" s="50" t="str">
        <f>IF(V61='Request #3'!V61,"OK","Send in Change Order")</f>
        <v>OK</v>
      </c>
      <c r="S61" s="85">
        <v>50</v>
      </c>
      <c r="T61" s="86" t="str">
        <f>'Request #3'!T61</f>
        <v>Other Fees</v>
      </c>
      <c r="U61" s="218">
        <f>'Request #3'!U61</f>
        <v>0</v>
      </c>
      <c r="V61" s="87">
        <f>'Request #3'!V61</f>
        <v>0</v>
      </c>
      <c r="W61" s="88">
        <f>SUMIF(F7:F79,50,E7:E79)</f>
        <v>0</v>
      </c>
      <c r="X61" s="88">
        <f>'Request #3'!Y61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89" t="str">
        <f>IF(W61&gt;='Request #3'!AA61,"OK","Alert,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7"/>
        <v>56</v>
      </c>
      <c r="H62" s="205">
        <f t="shared" si="7"/>
        <v>0</v>
      </c>
      <c r="I62" s="247">
        <f t="shared" si="4"/>
        <v>0</v>
      </c>
      <c r="K62" s="159"/>
      <c r="L62" s="157"/>
      <c r="M62" s="157"/>
      <c r="N62" s="154"/>
      <c r="O62" s="155"/>
      <c r="P62" s="158"/>
      <c r="R62" s="50" t="str">
        <f>IF(V62='Request #3'!V62,"OK","Send in Change Order")</f>
        <v>OK</v>
      </c>
      <c r="S62" s="85">
        <v>51</v>
      </c>
      <c r="T62" s="86" t="str">
        <f>'Request #3'!T62</f>
        <v>Other Fees</v>
      </c>
      <c r="U62" s="218">
        <f>'Request #3'!U62</f>
        <v>0</v>
      </c>
      <c r="V62" s="87">
        <f>'Request #3'!V62</f>
        <v>0</v>
      </c>
      <c r="W62" s="88">
        <f>SUMIF(F7:F79,51,E7:E79)</f>
        <v>0</v>
      </c>
      <c r="X62" s="88">
        <f>'Request #3'!Y62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89" t="str">
        <f>IF(W62&gt;='Request #3'!AA62,"OK","Alert,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#3'!V63,"OK","Send in Change Order")</f>
        <v>OK</v>
      </c>
      <c r="S63" s="85">
        <v>52</v>
      </c>
      <c r="T63" s="86" t="str">
        <f>'Request #3'!T63</f>
        <v>Worked Performed by Owner</v>
      </c>
      <c r="U63" s="218">
        <f>'Request #3'!U63</f>
        <v>0</v>
      </c>
      <c r="V63" s="87">
        <f>'Request #3'!V63</f>
        <v>0</v>
      </c>
      <c r="W63" s="88">
        <f>SUMIF(F7:F79,52,E7:E79)</f>
        <v>0</v>
      </c>
      <c r="X63" s="88">
        <f>'Request #3'!Y63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89" t="str">
        <f>IF(W63&gt;='Request #3'!AA63,"OK","Alert,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#3'!V64,"OK","Send in Change Order")</f>
        <v>OK</v>
      </c>
      <c r="S64" s="85">
        <v>53</v>
      </c>
      <c r="T64" s="86" t="str">
        <f>'Request #3'!T64</f>
        <v>Equipment (Major)</v>
      </c>
      <c r="U64" s="218">
        <f>'Request #3'!U64</f>
        <v>0</v>
      </c>
      <c r="V64" s="87">
        <f>'Request #3'!V64</f>
        <v>0</v>
      </c>
      <c r="W64" s="88">
        <f>SUMIF(F7:F79,53,E7:E79)</f>
        <v>0</v>
      </c>
      <c r="X64" s="88">
        <f>'Request #3'!Y64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89" t="str">
        <f>IF(W64&gt;='Request #3'!AA64,"OK","Alert,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#3'!V65,"OK","Send in Change Order")</f>
        <v>OK</v>
      </c>
      <c r="S65" s="85">
        <v>54</v>
      </c>
      <c r="T65" s="102" t="s">
        <v>90</v>
      </c>
      <c r="U65" s="218">
        <f>'Request #3'!U65</f>
        <v>0</v>
      </c>
      <c r="V65" s="87">
        <f>'Request #3'!V65</f>
        <v>0</v>
      </c>
      <c r="W65" s="104"/>
      <c r="X65" s="88">
        <f>'Request #3'!Y65</f>
        <v>0</v>
      </c>
      <c r="Y65" s="88">
        <f t="shared" si="2"/>
        <v>0</v>
      </c>
      <c r="Z65" s="88">
        <f t="shared" si="3"/>
        <v>0</v>
      </c>
      <c r="AA65" s="104"/>
      <c r="AB65" s="89" t="str">
        <f>IF(W65&gt;='Request #3'!AA65,"OK","Alert,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#3'!V66,"OK","Send in Change Order")</f>
        <v>OK</v>
      </c>
      <c r="S66" s="85">
        <v>55</v>
      </c>
      <c r="T66" s="86"/>
      <c r="U66" s="218">
        <f>'Request #3'!U66</f>
        <v>0</v>
      </c>
      <c r="V66" s="87">
        <f>'Request #3'!V66</f>
        <v>0</v>
      </c>
      <c r="W66" s="88">
        <f>SUMIF(F7:F79,55,E7:E79)</f>
        <v>0</v>
      </c>
      <c r="X66" s="88">
        <f>'Request #3'!Y66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89" t="str">
        <f>IF(W66&gt;='Request #3'!AA66,"OK","Alert,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#3'!V67,"OK","Send in Change Order")</f>
        <v>OK</v>
      </c>
      <c r="S67" s="85">
        <v>56</v>
      </c>
      <c r="T67" s="79"/>
      <c r="U67" s="218">
        <f>'Request #3'!U67</f>
        <v>0</v>
      </c>
      <c r="V67" s="87">
        <f>'Request #3'!V67</f>
        <v>0</v>
      </c>
      <c r="W67" s="88">
        <f>SUMIF(F7:F79,56,E7:E79)</f>
        <v>0</v>
      </c>
      <c r="X67" s="88">
        <f>'Request #3'!Y67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89" t="str">
        <f>IF(W67&gt;='Request #3'!AA67,"OK","Alert,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#3'!V68,"OK","Send in Change Order")</f>
        <v>OK</v>
      </c>
      <c r="S68" s="316" t="s">
        <v>60</v>
      </c>
      <c r="T68" s="317"/>
      <c r="U68" s="166" t="s">
        <v>91</v>
      </c>
      <c r="V68" s="263">
        <f t="shared" ref="V68:AA68" si="8">SUM(V12:V67)</f>
        <v>0</v>
      </c>
      <c r="W68" s="105">
        <f t="shared" si="8"/>
        <v>0</v>
      </c>
      <c r="X68" s="105">
        <f t="shared" si="8"/>
        <v>0</v>
      </c>
      <c r="Y68" s="105">
        <f t="shared" si="8"/>
        <v>0</v>
      </c>
      <c r="Z68" s="105">
        <f t="shared" si="8"/>
        <v>0</v>
      </c>
      <c r="AA68" s="105">
        <f t="shared" si="8"/>
        <v>0</v>
      </c>
      <c r="AB68" s="89" t="str">
        <f>IF(W68&gt;='Request #3'!AA68,"OK","Alert,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09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167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10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11" t="e">
        <f>V72/V68</f>
        <v>#DIV/0!</v>
      </c>
      <c r="V72" s="88">
        <f>V68-V74-V73</f>
        <v>0</v>
      </c>
      <c r="W72" s="87">
        <v>0</v>
      </c>
      <c r="X72" s="88">
        <f>'Request #3'!Y72</f>
        <v>0</v>
      </c>
      <c r="Y72" s="88">
        <f t="shared" ref="Y72:Y73" si="9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#3'!V73,"OK","Send in Change Order")</f>
        <v>OK</v>
      </c>
      <c r="S73" s="86" t="s">
        <v>95</v>
      </c>
      <c r="T73" s="114"/>
      <c r="U73" s="211" t="e">
        <f>V73/V68</f>
        <v>#DIV/0!</v>
      </c>
      <c r="V73" s="87">
        <f>'Request #3'!V73</f>
        <v>0</v>
      </c>
      <c r="W73" s="87">
        <v>0</v>
      </c>
      <c r="X73" s="88">
        <f>'Request #3'!Y73</f>
        <v>0</v>
      </c>
      <c r="Y73" s="88">
        <f t="shared" si="9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#3'!V74,"OK","Send in Change Order")</f>
        <v>OK</v>
      </c>
      <c r="S74" s="120" t="s">
        <v>96</v>
      </c>
      <c r="T74" s="121"/>
      <c r="U74" s="211" t="e">
        <f>V74/V68</f>
        <v>#DIV/0!</v>
      </c>
      <c r="V74" s="87">
        <f>'Request #3'!V74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77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12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13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13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14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SUM(E45:E79)</f>
        <v>0</v>
      </c>
      <c r="F80" s="158"/>
      <c r="G80" s="192"/>
      <c r="K80" s="160" t="s">
        <v>107</v>
      </c>
      <c r="L80" s="161"/>
      <c r="M80" s="162"/>
      <c r="N80" s="161"/>
      <c r="O80" s="163">
        <f>SUM(O45:O79)</f>
        <v>0</v>
      </c>
      <c r="P80" s="158"/>
      <c r="S80" s="137"/>
      <c r="T80" s="55"/>
      <c r="U80" s="77"/>
      <c r="V80" s="55"/>
      <c r="W80" s="55"/>
      <c r="X80" s="138"/>
      <c r="Y80" s="45" t="s">
        <v>108</v>
      </c>
      <c r="Z80" s="43"/>
      <c r="AA80" s="88">
        <f>'Request #3'!AA79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4</v>
      </c>
      <c r="V87" s="55"/>
      <c r="W87" s="55"/>
      <c r="X87" s="138"/>
      <c r="Y87" s="45" t="s">
        <v>108</v>
      </c>
      <c r="Z87" s="43"/>
      <c r="AA87" s="88">
        <f>'Request #3'!AA86</f>
        <v>0</v>
      </c>
      <c r="AB87" s="110"/>
    </row>
    <row r="88" spans="1:28" ht="30" customHeight="1" thickBot="1" x14ac:dyDescent="0.35">
      <c r="S88" s="55"/>
      <c r="T88" s="55"/>
      <c r="U88" s="77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77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77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77"/>
      <c r="V91" s="55"/>
      <c r="W91" s="55"/>
      <c r="X91" s="55"/>
    </row>
    <row r="92" spans="1:28" ht="30" customHeight="1" x14ac:dyDescent="0.3">
      <c r="S92" s="55"/>
      <c r="T92" s="55"/>
      <c r="U92" s="77"/>
      <c r="V92" s="55"/>
      <c r="W92" s="55"/>
      <c r="X92" s="55"/>
    </row>
    <row r="93" spans="1:28" ht="30" customHeight="1" x14ac:dyDescent="0.3">
      <c r="S93" s="55"/>
      <c r="T93" s="55"/>
      <c r="U93" s="77"/>
      <c r="V93" s="55"/>
      <c r="W93" s="55"/>
      <c r="X93" s="55"/>
    </row>
    <row r="94" spans="1:28" ht="30" customHeight="1" x14ac:dyDescent="0.3">
      <c r="S94" s="55"/>
      <c r="T94" s="55"/>
      <c r="U94" s="77"/>
      <c r="V94" s="55"/>
      <c r="W94" s="55"/>
      <c r="X94" s="55"/>
    </row>
    <row r="95" spans="1:28" ht="30" customHeight="1" x14ac:dyDescent="0.3">
      <c r="S95" s="55"/>
      <c r="T95" s="55"/>
      <c r="U95" s="77"/>
      <c r="V95" s="55"/>
      <c r="W95" s="55"/>
      <c r="X95" s="55"/>
    </row>
    <row r="96" spans="1:28" ht="30" customHeight="1" x14ac:dyDescent="0.3">
      <c r="S96" s="55"/>
      <c r="T96" s="55"/>
      <c r="U96" s="77"/>
      <c r="V96" s="55"/>
      <c r="W96" s="55"/>
      <c r="X96" s="55"/>
    </row>
    <row r="97" spans="15:24" ht="30" customHeight="1" x14ac:dyDescent="0.3">
      <c r="S97" s="55"/>
      <c r="T97" s="55"/>
      <c r="U97" s="77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wsLn/lJVTs4FB5f3xmbsfBDwMFRQon2L2E4ROiqZAiq9VioodTQ8Cv2Vzv4VX3MDmy06a1m+5YRds9CeVk0wnA==" saltValue="+gaukWqNFLbxQPthKjjjVw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405" priority="10" operator="containsText" text="Change">
      <formula>NOT(ISERROR(SEARCH("Change",R1)))</formula>
    </cfRule>
  </conditionalFormatting>
  <conditionalFormatting sqref="R45:R48">
    <cfRule type="cellIs" dxfId="404" priority="7" operator="equal">
      <formula>"Send in Change Order"</formula>
    </cfRule>
  </conditionalFormatting>
  <conditionalFormatting sqref="W68">
    <cfRule type="cellIs" dxfId="403" priority="2" operator="notEqual">
      <formula>$E$82</formula>
    </cfRule>
    <cfRule type="cellIs" dxfId="402" priority="3" operator="greaterThan">
      <formula>$E$82</formula>
    </cfRule>
    <cfRule type="cellIs" dxfId="401" priority="4" operator="notEqual">
      <formula>$E$82</formula>
    </cfRule>
  </conditionalFormatting>
  <conditionalFormatting sqref="Z12:Z44">
    <cfRule type="cellIs" dxfId="400" priority="8" operator="lessThan">
      <formula>0</formula>
    </cfRule>
  </conditionalFormatting>
  <conditionalFormatting sqref="Z49:Z68">
    <cfRule type="cellIs" dxfId="399" priority="5" operator="lessThan">
      <formula>0</formula>
    </cfRule>
  </conditionalFormatting>
  <conditionalFormatting sqref="AA68">
    <cfRule type="cellIs" dxfId="398" priority="1" operator="notEqual">
      <formula>$O$82</formula>
    </cfRule>
  </conditionalFormatting>
  <conditionalFormatting sqref="AB1:AB1048576">
    <cfRule type="containsText" dxfId="397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2" manualBreakCount="2">
    <brk id="44" max="16383" man="1"/>
    <brk id="89" max="16383" man="1"/>
  </rowBreaks>
  <colBreaks count="11" manualBreakCount="11">
    <brk id="6" max="88" man="1"/>
    <brk id="10" max="1048575" man="1"/>
    <brk id="16" max="1048575" man="1"/>
    <brk id="18" max="1048575" man="1"/>
    <brk id="27" max="88" man="1"/>
    <brk id="29" max="1048575" man="1"/>
    <brk id="52" max="1048575" man="1"/>
    <brk id="99" max="1048575" man="1"/>
    <brk id="101" max="1048575" man="1"/>
    <brk id="110" max="1048575" man="1"/>
    <brk id="1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35"/>
  <sheetViews>
    <sheetView view="pageBreakPreview" topLeftCell="H1" zoomScale="60" zoomScaleNormal="100" workbookViewId="0">
      <selection activeCell="V15" sqref="V15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8.8867187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88671875" style="50" customWidth="1"/>
    <col min="19" max="19" width="6.6640625" style="39" customWidth="1"/>
    <col min="20" max="20" width="31.109375" style="39" customWidth="1"/>
    <col min="21" max="21" width="17.77734375" style="39" customWidth="1"/>
    <col min="22" max="27" width="18.88671875" style="39" customWidth="1"/>
    <col min="28" max="28" width="24.88671875" style="54" customWidth="1"/>
    <col min="29" max="29" width="8.88671875" style="40"/>
    <col min="30" max="30" width="16" style="39" customWidth="1"/>
    <col min="31" max="31" width="110.109375" style="39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53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5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53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53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55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H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68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74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5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114"/>
      <c r="T11" s="79"/>
      <c r="U11" s="80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#4'!V12,"OK","Send in Change Order")</f>
        <v>OK</v>
      </c>
      <c r="S12" s="85">
        <v>1</v>
      </c>
      <c r="T12" s="86" t="str">
        <f>'Request #4'!T12</f>
        <v>Land/Site Grading &amp; Improv.</v>
      </c>
      <c r="U12" s="215">
        <f>'Request #4'!U12</f>
        <v>0</v>
      </c>
      <c r="V12" s="87">
        <f>'Request #4'!V12</f>
        <v>0</v>
      </c>
      <c r="W12" s="88">
        <f>SUMIF(F7:F79,1,E7:E79)</f>
        <v>0</v>
      </c>
      <c r="X12" s="88">
        <f>'Request #4'!Y12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89" t="str">
        <f>IF(W12&gt;='Request #4'!AA12,"OK","Alert,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#4'!V13,"OK","Send in Change Order")</f>
        <v>OK</v>
      </c>
      <c r="S13" s="85">
        <v>2</v>
      </c>
      <c r="T13" s="86" t="str">
        <f>'Request #4'!T13</f>
        <v xml:space="preserve">General Contract </v>
      </c>
      <c r="U13" s="218">
        <f>'Request #4'!U13</f>
        <v>0</v>
      </c>
      <c r="V13" s="87">
        <f>'Request #4'!V13</f>
        <v>0</v>
      </c>
      <c r="W13" s="88">
        <f>SUMIF(F7:F79,2,E7:E79)</f>
        <v>0</v>
      </c>
      <c r="X13" s="88">
        <f>'Request #4'!Y13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89" t="str">
        <f>IF(W13&gt;='Request #4'!AA13,"OK","Alert,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#4'!V14,"OK","Send in Change Order")</f>
        <v>OK</v>
      </c>
      <c r="S14" s="85">
        <v>3</v>
      </c>
      <c r="T14" s="86" t="str">
        <f>'Request #4'!T14</f>
        <v>Designer Contract</v>
      </c>
      <c r="U14" s="218">
        <f>'Request #4'!U14</f>
        <v>0</v>
      </c>
      <c r="V14" s="87">
        <v>0</v>
      </c>
      <c r="W14" s="88">
        <f>SUMIF(F7:F79,3,E7:E79)</f>
        <v>0</v>
      </c>
      <c r="X14" s="88">
        <f>'Request #4'!Y14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89" t="str">
        <f>IF(W14&gt;='Request #4'!AA14,"OK","Alert,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#4'!V15,"OK","Send in Change Order")</f>
        <v>OK</v>
      </c>
      <c r="S15" s="85">
        <v>4</v>
      </c>
      <c r="T15" s="86" t="str">
        <f>'Request #4'!T15</f>
        <v>Designer Reimbursables</v>
      </c>
      <c r="U15" s="218">
        <f>'Request #4'!U15</f>
        <v>0</v>
      </c>
      <c r="V15" s="87">
        <f>'Request #4'!V15</f>
        <v>0</v>
      </c>
      <c r="W15" s="88">
        <f>SUMIF(F7:F79,4,E7:E79)</f>
        <v>0</v>
      </c>
      <c r="X15" s="88">
        <f>'Request #4'!Y15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89" t="str">
        <f>IF(W15&gt;='Request #4'!AA15,"OK","Alert,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#4'!V16,"OK","Send in Change Order")</f>
        <v>OK</v>
      </c>
      <c r="S16" s="85">
        <v>5</v>
      </c>
      <c r="T16" s="86" t="str">
        <f>'Request #4'!T16</f>
        <v>Other Contracts</v>
      </c>
      <c r="U16" s="218">
        <f>'Request #4'!U16</f>
        <v>0</v>
      </c>
      <c r="V16" s="87">
        <f>'Request #4'!V16</f>
        <v>0</v>
      </c>
      <c r="W16" s="88">
        <f>SUMIF(F7:F79,5,E7:E79)</f>
        <v>0</v>
      </c>
      <c r="X16" s="88">
        <f>'Request #4'!Y16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89" t="str">
        <f>IF(W16&gt;='Request #4'!AA16,"OK","Alert,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#4'!V17,"OK","Send in Change Order")</f>
        <v>OK</v>
      </c>
      <c r="S17" s="85">
        <v>6</v>
      </c>
      <c r="T17" s="86" t="str">
        <f>'Request #4'!T17</f>
        <v>Other Contracts</v>
      </c>
      <c r="U17" s="218">
        <f>'Request #4'!U17</f>
        <v>0</v>
      </c>
      <c r="V17" s="87">
        <f>'Request #4'!V17</f>
        <v>0</v>
      </c>
      <c r="W17" s="88">
        <f>SUMIF(F7:F79,6,E7:E79)</f>
        <v>0</v>
      </c>
      <c r="X17" s="88">
        <f>'Request #4'!Y17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89" t="str">
        <f>IF(W17&gt;='Request #4'!AA17,"OK","Alert,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#4'!V18,"OK","Send in Change Order")</f>
        <v>OK</v>
      </c>
      <c r="S18" s="85">
        <v>7</v>
      </c>
      <c r="T18" s="86" t="str">
        <f>'Request #4'!T18</f>
        <v>Other Contracts</v>
      </c>
      <c r="U18" s="218">
        <f>'Request #4'!U18</f>
        <v>0</v>
      </c>
      <c r="V18" s="87">
        <f>'Request #4'!V18</f>
        <v>0</v>
      </c>
      <c r="W18" s="88">
        <f>SUMIF(F7:F79,7,E7:E79)</f>
        <v>0</v>
      </c>
      <c r="X18" s="88">
        <f>'Request #4'!Y18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89" t="str">
        <f>IF(W18&gt;='Request #4'!AA18,"OK","Alert,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#4'!V19,"OK","Send in Change Order")</f>
        <v>OK</v>
      </c>
      <c r="S19" s="85">
        <v>8</v>
      </c>
      <c r="T19" s="86" t="str">
        <f>'Request #4'!T19</f>
        <v>Other Contracts</v>
      </c>
      <c r="U19" s="218">
        <f>'Request #4'!U19</f>
        <v>0</v>
      </c>
      <c r="V19" s="87">
        <f>'Request #4'!V19</f>
        <v>0</v>
      </c>
      <c r="W19" s="88">
        <f>SUMIF(F7:F79,8,E7:E79)</f>
        <v>0</v>
      </c>
      <c r="X19" s="88">
        <f>'Request #4'!Y19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89" t="str">
        <f>IF(W19&gt;='Request #4'!AA19,"OK","Alert,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#4'!V20,"OK","Send in Change Order")</f>
        <v>OK</v>
      </c>
      <c r="S20" s="85">
        <v>9</v>
      </c>
      <c r="T20" s="86" t="str">
        <f>'Request #4'!T20</f>
        <v>Other Contracts</v>
      </c>
      <c r="U20" s="218">
        <f>'Request #4'!U20</f>
        <v>0</v>
      </c>
      <c r="V20" s="87">
        <f>'Request #4'!V20</f>
        <v>0</v>
      </c>
      <c r="W20" s="88">
        <f>SUMIF(F7:F79,9,E7:E79)</f>
        <v>0</v>
      </c>
      <c r="X20" s="88">
        <f>'Request #4'!Y20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89" t="str">
        <f>IF(W20&gt;='Request #4'!AA20,"OK","Alert,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#4'!V21,"OK","Send in Change Order")</f>
        <v>OK</v>
      </c>
      <c r="S21" s="85">
        <v>10</v>
      </c>
      <c r="T21" s="86" t="str">
        <f>'Request #4'!T21</f>
        <v>Other Contracts</v>
      </c>
      <c r="U21" s="218">
        <f>'Request #4'!U21</f>
        <v>0</v>
      </c>
      <c r="V21" s="87">
        <f>'Request #4'!V21</f>
        <v>0</v>
      </c>
      <c r="W21" s="88">
        <f>SUMIF(F7:F79,10,E7:E79)</f>
        <v>0</v>
      </c>
      <c r="X21" s="88">
        <f>'Request #4'!Y21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89" t="str">
        <f>IF(W21&gt;='Request #4'!AA21,"OK","Alert,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#4'!V22,"OK","Send in Change Order")</f>
        <v>OK</v>
      </c>
      <c r="S22" s="85">
        <v>11</v>
      </c>
      <c r="T22" s="86" t="str">
        <f>'Request #4'!T22</f>
        <v>Other Contracts</v>
      </c>
      <c r="U22" s="218">
        <f>'Request #4'!U22</f>
        <v>0</v>
      </c>
      <c r="V22" s="87">
        <f>'Request #4'!V22</f>
        <v>0</v>
      </c>
      <c r="W22" s="88">
        <f>SUMIF(F7:F79,11,E7:E79)</f>
        <v>0</v>
      </c>
      <c r="X22" s="88">
        <f>'Request #4'!Y22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89" t="str">
        <f>IF(W22&gt;='Request #4'!AA22,"OK","Alert,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#4'!V23,"OK","Send in Change Order")</f>
        <v>OK</v>
      </c>
      <c r="S23" s="85">
        <v>12</v>
      </c>
      <c r="T23" s="86" t="str">
        <f>'Request #4'!T23</f>
        <v>Other Contracts</v>
      </c>
      <c r="U23" s="218">
        <f>'Request #4'!U23</f>
        <v>0</v>
      </c>
      <c r="V23" s="87">
        <f>'Request #4'!V23</f>
        <v>0</v>
      </c>
      <c r="W23" s="88">
        <f>SUMIF(F7:F79,12,E7:E79)</f>
        <v>0</v>
      </c>
      <c r="X23" s="88">
        <f>'Request #4'!Y23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89" t="str">
        <f>IF(W23&gt;='Request #4'!AA23,"OK","Alert,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ref="I24:I62" si="4">U29</f>
        <v>0</v>
      </c>
      <c r="K24" s="159"/>
      <c r="L24" s="157"/>
      <c r="M24" s="157"/>
      <c r="N24" s="154"/>
      <c r="O24" s="155"/>
      <c r="P24" s="158"/>
      <c r="R24" s="50" t="str">
        <f>IF(V24='Request #4'!V24,"OK","Send in Change Order")</f>
        <v>OK</v>
      </c>
      <c r="S24" s="85">
        <v>13</v>
      </c>
      <c r="T24" s="86" t="str">
        <f>'Request #4'!T24</f>
        <v>Other Contracts</v>
      </c>
      <c r="U24" s="218">
        <f>'Request #4'!U24</f>
        <v>0</v>
      </c>
      <c r="V24" s="87">
        <f>'Request #4'!V24</f>
        <v>0</v>
      </c>
      <c r="W24" s="88">
        <f>SUMIF(F7:F79,13,E7:E79)</f>
        <v>0</v>
      </c>
      <c r="X24" s="88">
        <f>'Request #4'!Y24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89" t="str">
        <f>IF(W24&gt;='Request #4'!AA24,"OK","Alert,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H40" si="5">S30</f>
        <v>19</v>
      </c>
      <c r="H25" s="205" t="str">
        <f t="shared" si="5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#4'!V25,"OK","Send in Change Order")</f>
        <v>OK</v>
      </c>
      <c r="S25" s="85">
        <v>14</v>
      </c>
      <c r="T25" s="86" t="str">
        <f>'Request #4'!T25</f>
        <v>Other Contracts</v>
      </c>
      <c r="U25" s="218">
        <f>'Request #4'!U25</f>
        <v>0</v>
      </c>
      <c r="V25" s="87">
        <f>'Request #4'!V25</f>
        <v>0</v>
      </c>
      <c r="W25" s="88">
        <f>SUMIF(F7:F79,14,E7:E79)</f>
        <v>0</v>
      </c>
      <c r="X25" s="88">
        <f>'Request #4'!Y25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89" t="str">
        <f>IF(W25&gt;='Request #4'!AA25,"OK","Alert,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5"/>
        <v>20</v>
      </c>
      <c r="H26" s="205" t="str">
        <f t="shared" si="5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#4'!V26,"OK","Send in Change Order")</f>
        <v>OK</v>
      </c>
      <c r="S26" s="85">
        <v>15</v>
      </c>
      <c r="T26" s="86" t="str">
        <f>'Request #4'!T26</f>
        <v>Other Contracts</v>
      </c>
      <c r="U26" s="218">
        <f>'Request #4'!U26</f>
        <v>0</v>
      </c>
      <c r="V26" s="87">
        <f>'Request #4'!V26</f>
        <v>0</v>
      </c>
      <c r="W26" s="88">
        <f>SUMIF(F7:F79,15,E7:E79)</f>
        <v>0</v>
      </c>
      <c r="X26" s="88">
        <f>'Request #4'!Y26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89" t="str">
        <f>IF(W26&gt;='Request #4'!AA26,"OK","Alert,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5"/>
        <v>21</v>
      </c>
      <c r="H27" s="205" t="str">
        <f t="shared" si="5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#4'!V27,"OK","Send in Change Order")</f>
        <v>OK</v>
      </c>
      <c r="S27" s="85">
        <v>16</v>
      </c>
      <c r="T27" s="86" t="str">
        <f>'Request #4'!T27</f>
        <v>Other Contracts</v>
      </c>
      <c r="U27" s="218">
        <f>'Request #4'!U27</f>
        <v>0</v>
      </c>
      <c r="V27" s="87">
        <f>'Request #4'!V27</f>
        <v>0</v>
      </c>
      <c r="W27" s="88">
        <f>SUMIF(F7:F79,16,E7:E79)</f>
        <v>0</v>
      </c>
      <c r="X27" s="88">
        <f>'Request #4'!Y27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89" t="str">
        <f>IF(W27&gt;='Request #4'!AA27,"OK","Alert,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5"/>
        <v>22</v>
      </c>
      <c r="H28" s="205" t="str">
        <f t="shared" si="5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#4'!V28,"OK","Send in Change Order")</f>
        <v>OK</v>
      </c>
      <c r="S28" s="85">
        <v>17</v>
      </c>
      <c r="T28" s="86" t="str">
        <f>'Request #4'!T28</f>
        <v>Other Contracts</v>
      </c>
      <c r="U28" s="218">
        <f>'Request #4'!U28</f>
        <v>0</v>
      </c>
      <c r="V28" s="87">
        <f>'Request #4'!V28</f>
        <v>0</v>
      </c>
      <c r="W28" s="88">
        <f>SUMIF(F7:F79,17,E7:E79)</f>
        <v>0</v>
      </c>
      <c r="X28" s="88">
        <f>'Request #4'!Y28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89" t="str">
        <f>IF(W28&gt;='Request #4'!AA28,"OK","Alert,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5"/>
        <v>23</v>
      </c>
      <c r="H29" s="205" t="str">
        <f t="shared" si="5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#4'!V29,"OK","Send in Change Order")</f>
        <v>OK</v>
      </c>
      <c r="S29" s="85">
        <v>18</v>
      </c>
      <c r="T29" s="86" t="str">
        <f>'Request #4'!T29</f>
        <v>Other Contracts</v>
      </c>
      <c r="U29" s="218">
        <f>'Request #4'!U29</f>
        <v>0</v>
      </c>
      <c r="V29" s="87">
        <f>'Request #4'!V29</f>
        <v>0</v>
      </c>
      <c r="W29" s="88">
        <f>SUMIF(F7:F79,18,E7:E79)</f>
        <v>0</v>
      </c>
      <c r="X29" s="88">
        <f>'Request #4'!Y29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89" t="str">
        <f>IF(W29&gt;='Request #4'!AA29,"OK","Alert,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5"/>
        <v>24</v>
      </c>
      <c r="H30" s="205" t="str">
        <f t="shared" si="5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#4'!V30,"OK","Send in Change Order")</f>
        <v>OK</v>
      </c>
      <c r="S30" s="85">
        <v>19</v>
      </c>
      <c r="T30" s="86" t="str">
        <f>'Request #4'!T30</f>
        <v>Other Contracts</v>
      </c>
      <c r="U30" s="218">
        <f>'Request #4'!U30</f>
        <v>0</v>
      </c>
      <c r="V30" s="87">
        <f>'Request #4'!V30</f>
        <v>0</v>
      </c>
      <c r="W30" s="88">
        <f>SUMIF(F7:F79,19,E7:E79)</f>
        <v>0</v>
      </c>
      <c r="X30" s="88">
        <f>'Request #4'!Y30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89" t="str">
        <f>IF(W30&gt;='Request #4'!AA30,"OK","Alert,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5"/>
        <v>25</v>
      </c>
      <c r="H31" s="205" t="str">
        <f t="shared" si="5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#4'!V31,"OK","Send in Change Order")</f>
        <v>OK</v>
      </c>
      <c r="S31" s="85">
        <v>20</v>
      </c>
      <c r="T31" s="86" t="str">
        <f>'Request #4'!T31</f>
        <v>Other Contracts</v>
      </c>
      <c r="U31" s="218">
        <f>'Request #4'!U31</f>
        <v>0</v>
      </c>
      <c r="V31" s="87">
        <f>'Request #4'!V31</f>
        <v>0</v>
      </c>
      <c r="W31" s="88">
        <f>SUMIF(F7:F79,20,E7:E79)</f>
        <v>0</v>
      </c>
      <c r="X31" s="88">
        <f>'Request #4'!Y31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89" t="str">
        <f>IF(W31&gt;='Request #4'!AA31,"OK","Alert,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5"/>
        <v>26</v>
      </c>
      <c r="H32" s="205" t="str">
        <f t="shared" si="5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#4'!V32,"OK","Send in Change Order")</f>
        <v>OK</v>
      </c>
      <c r="S32" s="85">
        <v>21</v>
      </c>
      <c r="T32" s="86" t="str">
        <f>'Request #4'!T32</f>
        <v>Other Contracts</v>
      </c>
      <c r="U32" s="218">
        <f>'Request #4'!U32</f>
        <v>0</v>
      </c>
      <c r="V32" s="87">
        <f>'Request #4'!V32</f>
        <v>0</v>
      </c>
      <c r="W32" s="88">
        <f>SUMIF(F7:F79,21,E7:E79)</f>
        <v>0</v>
      </c>
      <c r="X32" s="88">
        <f>'Request #4'!Y32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89" t="str">
        <f>IF(W32&gt;='Request #4'!AA32,"OK","Alert,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5"/>
        <v>27</v>
      </c>
      <c r="H33" s="205" t="str">
        <f t="shared" si="5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#4'!V33,"OK","Send in Change Order")</f>
        <v>OK</v>
      </c>
      <c r="S33" s="85">
        <v>22</v>
      </c>
      <c r="T33" s="86" t="str">
        <f>'Request #4'!T33</f>
        <v>Other Contracts</v>
      </c>
      <c r="U33" s="218">
        <f>'Request #4'!U33</f>
        <v>0</v>
      </c>
      <c r="V33" s="87">
        <f>'Request #4'!V33</f>
        <v>0</v>
      </c>
      <c r="W33" s="88">
        <f>SUMIF(F7:F79,22,E7:E79)</f>
        <v>0</v>
      </c>
      <c r="X33" s="88">
        <f>'Request #4'!Y33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89" t="str">
        <f>IF(W33&gt;='Request #4'!AA33,"OK","Alert,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5"/>
        <v>28</v>
      </c>
      <c r="H34" s="205" t="str">
        <f t="shared" si="5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#4'!V34,"OK","Send in Change Order")</f>
        <v>OK</v>
      </c>
      <c r="S34" s="85">
        <v>23</v>
      </c>
      <c r="T34" s="86" t="str">
        <f>'Request #4'!T34</f>
        <v>Other Contracts</v>
      </c>
      <c r="U34" s="218">
        <f>'Request #4'!U34</f>
        <v>0</v>
      </c>
      <c r="V34" s="87">
        <f>'Request #4'!V34</f>
        <v>0</v>
      </c>
      <c r="W34" s="88">
        <f>SUMIF(F7:F79,23,E7:E79)</f>
        <v>0</v>
      </c>
      <c r="X34" s="88">
        <f>'Request #4'!Y34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89" t="str">
        <f>IF(W34&gt;='Request #4'!AA34,"OK","Alert,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5"/>
        <v>29</v>
      </c>
      <c r="H35" s="205" t="str">
        <f t="shared" si="5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#4'!V35,"OK","Send in Change Order")</f>
        <v>OK</v>
      </c>
      <c r="S35" s="85">
        <v>24</v>
      </c>
      <c r="T35" s="86" t="str">
        <f>'Request #4'!T35</f>
        <v>Other Contracts</v>
      </c>
      <c r="U35" s="218">
        <f>'Request #4'!U35</f>
        <v>0</v>
      </c>
      <c r="V35" s="87">
        <f>'Request #4'!V35</f>
        <v>0</v>
      </c>
      <c r="W35" s="88">
        <f>SUMIF(F7:F79,24,E7:E79)</f>
        <v>0</v>
      </c>
      <c r="X35" s="88">
        <f>'Request #4'!Y35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89" t="str">
        <f>IF(W35&gt;='Request #4'!AA35,"OK","Alert,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5"/>
        <v>30</v>
      </c>
      <c r="H36" s="205" t="str">
        <f t="shared" si="5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#4'!V36,"OK","Send in Change Order")</f>
        <v>OK</v>
      </c>
      <c r="S36" s="85">
        <v>25</v>
      </c>
      <c r="T36" s="86" t="str">
        <f>'Request #4'!T36</f>
        <v>Other Contracts</v>
      </c>
      <c r="U36" s="218">
        <f>'Request #4'!U36</f>
        <v>0</v>
      </c>
      <c r="V36" s="87">
        <f>'Request #4'!V36</f>
        <v>0</v>
      </c>
      <c r="W36" s="88">
        <f>SUMIF(F7:F79,25,E7:E79)</f>
        <v>0</v>
      </c>
      <c r="X36" s="88">
        <f>'Request #4'!Y36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89" t="str">
        <f>IF(W36&gt;='Request #4'!AA36,"OK","Alert,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5"/>
        <v>31</v>
      </c>
      <c r="H37" s="205" t="str">
        <f t="shared" si="5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#4'!V37,"OK","Send in Change Order")</f>
        <v>OK</v>
      </c>
      <c r="S37" s="85">
        <v>26</v>
      </c>
      <c r="T37" s="86" t="str">
        <f>'Request #4'!T37</f>
        <v>Other Fees</v>
      </c>
      <c r="U37" s="218">
        <f>'Request #4'!U37</f>
        <v>0</v>
      </c>
      <c r="V37" s="87">
        <f>'Request #4'!V37</f>
        <v>0</v>
      </c>
      <c r="W37" s="88">
        <f>SUMIF(F7:F79,26,E7:E79)</f>
        <v>0</v>
      </c>
      <c r="X37" s="88">
        <f>'Request #4'!Y37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89" t="str">
        <f>IF(W37&gt;='Request #4'!AA37,"OK","Alert,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5"/>
        <v>32</v>
      </c>
      <c r="H38" s="205" t="str">
        <f t="shared" si="5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#4'!V38,"OK","Send in Change Order")</f>
        <v>OK</v>
      </c>
      <c r="S38" s="85">
        <v>27</v>
      </c>
      <c r="T38" s="86" t="str">
        <f>'Request #4'!T38</f>
        <v>Other Fees</v>
      </c>
      <c r="U38" s="218">
        <f>'Request #4'!U38</f>
        <v>0</v>
      </c>
      <c r="V38" s="87">
        <f>'Request #4'!V38</f>
        <v>0</v>
      </c>
      <c r="W38" s="88">
        <f>SUMIF(F7:F79,27,E7:E79)</f>
        <v>0</v>
      </c>
      <c r="X38" s="88">
        <f>'Request #4'!Y38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89" t="str">
        <f>IF(W38&gt;='Request #4'!AA38,"OK","Alert,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5"/>
        <v>33</v>
      </c>
      <c r="H39" s="205" t="str">
        <f t="shared" si="5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#4'!V39,"OK","Send in Change Order")</f>
        <v>OK</v>
      </c>
      <c r="S39" s="85">
        <v>28</v>
      </c>
      <c r="T39" s="86" t="str">
        <f>'Request #4'!T39</f>
        <v>Other Fees</v>
      </c>
      <c r="U39" s="218">
        <f>'Request #4'!U39</f>
        <v>0</v>
      </c>
      <c r="V39" s="87">
        <f>'Request #4'!V39</f>
        <v>0</v>
      </c>
      <c r="W39" s="88">
        <f>SUMIF(F7:F79,28,E7:E79)</f>
        <v>0</v>
      </c>
      <c r="X39" s="88">
        <f>'Request #4'!Y39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89" t="str">
        <f>IF(W39&gt;='Request #4'!AA39,"OK","Alert,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5"/>
        <v>0</v>
      </c>
      <c r="H40" s="205">
        <f t="shared" si="5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#4'!V40,"OK","Send in Change Order")</f>
        <v>OK</v>
      </c>
      <c r="S40" s="85">
        <v>29</v>
      </c>
      <c r="T40" s="86" t="str">
        <f>'Request #4'!T40</f>
        <v>Other Fees</v>
      </c>
      <c r="U40" s="218">
        <f>'Request #4'!U40</f>
        <v>0</v>
      </c>
      <c r="V40" s="87">
        <f>'Request #4'!V40</f>
        <v>0</v>
      </c>
      <c r="W40" s="88">
        <f>SUMIF(F7:F79,29,E7:E79)</f>
        <v>0</v>
      </c>
      <c r="X40" s="88">
        <f>'Request #4'!Y40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89" t="str">
        <f>IF(W40&gt;='Request #4'!AA40,"OK","Alert,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H56" si="6">S46</f>
        <v>Cost</v>
      </c>
      <c r="H41" s="205">
        <f t="shared" si="6"/>
        <v>0</v>
      </c>
      <c r="I41" s="247">
        <f t="shared" si="4"/>
        <v>0</v>
      </c>
      <c r="K41" s="159"/>
      <c r="L41" s="157"/>
      <c r="M41" s="157"/>
      <c r="N41" s="154"/>
      <c r="O41" s="155"/>
      <c r="P41" s="158"/>
      <c r="R41" s="50" t="str">
        <f>IF(V41='Request #4'!V41,"OK","Send in Change Order")</f>
        <v>OK</v>
      </c>
      <c r="S41" s="85">
        <v>30</v>
      </c>
      <c r="T41" s="86" t="str">
        <f>'Request #4'!T41</f>
        <v>Other Fees</v>
      </c>
      <c r="U41" s="218">
        <f>'Request #4'!U41</f>
        <v>0</v>
      </c>
      <c r="V41" s="87">
        <f>'Request #4'!V41</f>
        <v>0</v>
      </c>
      <c r="W41" s="88">
        <f>SUMIF(F7:F79,30,E7:E79)</f>
        <v>0</v>
      </c>
      <c r="X41" s="88">
        <f>'Request #4'!Y41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89" t="str">
        <f>IF(W41&gt;='Request #4'!AA41,"OK","Alert,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6"/>
        <v>Item</v>
      </c>
      <c r="H42" s="205" t="str">
        <f t="shared" si="6"/>
        <v>Account Name</v>
      </c>
      <c r="I42" s="247">
        <f t="shared" si="4"/>
        <v>0</v>
      </c>
      <c r="K42" s="159"/>
      <c r="L42" s="157"/>
      <c r="M42" s="157"/>
      <c r="N42" s="154"/>
      <c r="O42" s="155"/>
      <c r="P42" s="158"/>
      <c r="R42" s="50" t="str">
        <f>IF(V42='Request #4'!V42,"OK","Send in Change Order")</f>
        <v>OK</v>
      </c>
      <c r="S42" s="85">
        <v>31</v>
      </c>
      <c r="T42" s="86" t="str">
        <f>'Request #4'!T42</f>
        <v>Other Fees</v>
      </c>
      <c r="U42" s="218">
        <f>'Request #4'!U42</f>
        <v>0</v>
      </c>
      <c r="V42" s="87">
        <f>'Request #4'!V42</f>
        <v>0</v>
      </c>
      <c r="W42" s="88">
        <f>SUMIF(F7:F79,31,E7:E79)</f>
        <v>0</v>
      </c>
      <c r="X42" s="88">
        <f>'Request #4'!Y42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89" t="str">
        <f>IF(W42&gt;='Request #4'!AA42,"OK","Alert,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6"/>
        <v>0</v>
      </c>
      <c r="H43" s="205">
        <f t="shared" si="6"/>
        <v>0</v>
      </c>
      <c r="I43" s="247">
        <f t="shared" si="4"/>
        <v>0</v>
      </c>
      <c r="K43" s="159"/>
      <c r="L43" s="157"/>
      <c r="M43" s="157"/>
      <c r="N43" s="154"/>
      <c r="O43" s="155"/>
      <c r="P43" s="158"/>
      <c r="R43" s="50" t="str">
        <f>IF(V43='Request #4'!V43,"OK","Send in Change Order")</f>
        <v>OK</v>
      </c>
      <c r="S43" s="85">
        <v>32</v>
      </c>
      <c r="T43" s="86" t="str">
        <f>'Request #4'!T43</f>
        <v>Other Fees</v>
      </c>
      <c r="U43" s="218">
        <f>'Request #4'!U43</f>
        <v>0</v>
      </c>
      <c r="V43" s="87">
        <f>'Request #4'!V43</f>
        <v>0</v>
      </c>
      <c r="W43" s="88">
        <f>SUMIF(F7:F79,32,E7:E79)</f>
        <v>0</v>
      </c>
      <c r="X43" s="88">
        <f>'Request #4'!Y43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89" t="str">
        <f>IF(W43&gt;='Request #4'!AA43,"OK","Alert,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6"/>
        <v>38</v>
      </c>
      <c r="H44" s="205" t="str">
        <f t="shared" si="6"/>
        <v>Other Fees</v>
      </c>
      <c r="I44" s="247">
        <f t="shared" si="4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#4'!V44,"OK","Send in Change Order")</f>
        <v>OK</v>
      </c>
      <c r="S44" s="85">
        <v>33</v>
      </c>
      <c r="T44" s="86" t="str">
        <f>'Request #4'!T44</f>
        <v>Other Fees</v>
      </c>
      <c r="U44" s="218">
        <f>'Request #4'!U44</f>
        <v>0</v>
      </c>
      <c r="V44" s="87">
        <f>'Request #4'!V44</f>
        <v>0</v>
      </c>
      <c r="W44" s="88">
        <f>SUMIF(F7:F79,33,E7:E79)</f>
        <v>0</v>
      </c>
      <c r="X44" s="88">
        <f>'Request #4'!Y44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89" t="str">
        <f>IF(W44&gt;='Request #4'!AA44,"OK","Alert,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6"/>
        <v>39</v>
      </c>
      <c r="H45" s="205" t="str">
        <f t="shared" si="6"/>
        <v>Other Fees</v>
      </c>
      <c r="I45" s="247">
        <f t="shared" si="4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6"/>
        <v>40</v>
      </c>
      <c r="H46" s="205" t="str">
        <f t="shared" si="6"/>
        <v>Other Fees</v>
      </c>
      <c r="I46" s="247">
        <f t="shared" si="4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6"/>
        <v>41</v>
      </c>
      <c r="H47" s="205" t="str">
        <f t="shared" si="6"/>
        <v>Other Fees</v>
      </c>
      <c r="I47" s="247">
        <f t="shared" si="4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6"/>
        <v>42</v>
      </c>
      <c r="H48" s="205" t="str">
        <f t="shared" si="6"/>
        <v>Other Fees</v>
      </c>
      <c r="I48" s="247">
        <f t="shared" si="4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6"/>
        <v>43</v>
      </c>
      <c r="H49" s="205" t="str">
        <f t="shared" si="6"/>
        <v>Other Fees</v>
      </c>
      <c r="I49" s="247">
        <f t="shared" si="4"/>
        <v>0</v>
      </c>
      <c r="K49" s="159"/>
      <c r="L49" s="157"/>
      <c r="M49" s="157"/>
      <c r="N49" s="154"/>
      <c r="O49" s="155"/>
      <c r="P49" s="158"/>
      <c r="R49" s="50" t="str">
        <f>IF(V49='Request #4'!V49,"OK","Send in Change Order")</f>
        <v>OK</v>
      </c>
      <c r="S49" s="85">
        <v>38</v>
      </c>
      <c r="T49" s="86" t="str">
        <f>'Request #4'!T49</f>
        <v>Other Fees</v>
      </c>
      <c r="U49" s="218">
        <f>'Request #4'!U49</f>
        <v>0</v>
      </c>
      <c r="V49" s="87">
        <f>'Request #4'!V49</f>
        <v>0</v>
      </c>
      <c r="W49" s="88">
        <f>SUMIF(F7:F79,38,E7:E79)</f>
        <v>0</v>
      </c>
      <c r="X49" s="88">
        <f>'Request #4'!Y49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89" t="str">
        <f>IF(W49&gt;='Request #4'!AA49,"OK","Alert,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6"/>
        <v>44</v>
      </c>
      <c r="H50" s="205" t="str">
        <f t="shared" si="6"/>
        <v>Other Fees</v>
      </c>
      <c r="I50" s="247">
        <f t="shared" si="4"/>
        <v>0</v>
      </c>
      <c r="K50" s="159"/>
      <c r="L50" s="157"/>
      <c r="M50" s="157"/>
      <c r="N50" s="154"/>
      <c r="O50" s="155"/>
      <c r="P50" s="158"/>
      <c r="R50" s="50" t="str">
        <f>IF(V50='Request #4'!V50,"OK","Send in Change Order")</f>
        <v>OK</v>
      </c>
      <c r="S50" s="85">
        <v>39</v>
      </c>
      <c r="T50" s="86" t="str">
        <f>'Request #4'!T50</f>
        <v>Other Fees</v>
      </c>
      <c r="U50" s="218">
        <f>'Request #4'!U50</f>
        <v>0</v>
      </c>
      <c r="V50" s="87">
        <f>'Request #4'!V50</f>
        <v>0</v>
      </c>
      <c r="W50" s="88">
        <f>SUMIF(F7:F79,39,E7:E79)</f>
        <v>0</v>
      </c>
      <c r="X50" s="88">
        <f>'Request #4'!Y50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89" t="str">
        <f>IF(W50&gt;='Request #4'!AA50,"OK","Alert,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6"/>
        <v>45</v>
      </c>
      <c r="H51" s="205" t="str">
        <f t="shared" si="6"/>
        <v>Other Fees</v>
      </c>
      <c r="I51" s="247">
        <f t="shared" si="4"/>
        <v>0</v>
      </c>
      <c r="K51" s="159"/>
      <c r="L51" s="157"/>
      <c r="M51" s="157"/>
      <c r="N51" s="154"/>
      <c r="O51" s="155"/>
      <c r="P51" s="158"/>
      <c r="R51" s="50" t="str">
        <f>IF(V51='Request #4'!V51,"OK","Send in Change Order")</f>
        <v>OK</v>
      </c>
      <c r="S51" s="85">
        <v>40</v>
      </c>
      <c r="T51" s="86" t="str">
        <f>'Request #4'!T51</f>
        <v>Other Fees</v>
      </c>
      <c r="U51" s="218">
        <f>'Request #4'!U51</f>
        <v>0</v>
      </c>
      <c r="V51" s="87">
        <f>'Request #4'!V51</f>
        <v>0</v>
      </c>
      <c r="W51" s="88">
        <f>SUMIF(F7:F79,40,E7:E79)</f>
        <v>0</v>
      </c>
      <c r="X51" s="88">
        <f>'Request #4'!Y51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89" t="str">
        <f>IF(W51&gt;='Request #4'!AA51,"OK","Alert,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6"/>
        <v>46</v>
      </c>
      <c r="H52" s="205" t="str">
        <f t="shared" si="6"/>
        <v>Other Fees</v>
      </c>
      <c r="I52" s="247">
        <f t="shared" si="4"/>
        <v>0</v>
      </c>
      <c r="K52" s="159"/>
      <c r="L52" s="157"/>
      <c r="M52" s="157"/>
      <c r="N52" s="154"/>
      <c r="O52" s="155"/>
      <c r="P52" s="158"/>
      <c r="R52" s="50" t="str">
        <f>IF(V52='Request #4'!V52,"OK","Send in Change Order")</f>
        <v>OK</v>
      </c>
      <c r="S52" s="85">
        <v>41</v>
      </c>
      <c r="T52" s="86" t="str">
        <f>'Request #4'!T52</f>
        <v>Other Fees</v>
      </c>
      <c r="U52" s="218">
        <f>'Request #4'!U52</f>
        <v>0</v>
      </c>
      <c r="V52" s="87">
        <f>'Request #4'!V52</f>
        <v>0</v>
      </c>
      <c r="W52" s="88">
        <f>SUMIF(F7:F79,41,E7:E79)</f>
        <v>0</v>
      </c>
      <c r="X52" s="88">
        <f>'Request #4'!Y52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89" t="str">
        <f>IF(W52&gt;='Request #4'!AA52,"OK","Alert,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6"/>
        <v>47</v>
      </c>
      <c r="H53" s="205" t="str">
        <f t="shared" si="6"/>
        <v>Other Fees</v>
      </c>
      <c r="I53" s="247">
        <f t="shared" si="4"/>
        <v>0</v>
      </c>
      <c r="K53" s="159"/>
      <c r="L53" s="157"/>
      <c r="M53" s="157"/>
      <c r="N53" s="154"/>
      <c r="O53" s="155"/>
      <c r="P53" s="158"/>
      <c r="R53" s="50" t="str">
        <f>IF(V53='Request #4'!V53,"OK","Send in Change Order")</f>
        <v>OK</v>
      </c>
      <c r="S53" s="85">
        <v>42</v>
      </c>
      <c r="T53" s="86" t="str">
        <f>'Request #4'!T53</f>
        <v>Other Fees</v>
      </c>
      <c r="U53" s="218">
        <f>'Request #4'!U53</f>
        <v>0</v>
      </c>
      <c r="V53" s="87">
        <f>'Request #4'!V53</f>
        <v>0</v>
      </c>
      <c r="W53" s="88">
        <f>SUMIF(F7:F79,42,E7:E79)</f>
        <v>0</v>
      </c>
      <c r="X53" s="88">
        <f>'Request #4'!Y53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89" t="str">
        <f>IF(W53&gt;='Request #4'!AA53,"OK","Alert,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6"/>
        <v>48</v>
      </c>
      <c r="H54" s="205" t="str">
        <f t="shared" si="6"/>
        <v>Other Fees</v>
      </c>
      <c r="I54" s="247">
        <f t="shared" si="4"/>
        <v>0</v>
      </c>
      <c r="K54" s="159"/>
      <c r="L54" s="157"/>
      <c r="M54" s="157"/>
      <c r="N54" s="154"/>
      <c r="O54" s="155"/>
      <c r="P54" s="158"/>
      <c r="R54" s="50" t="str">
        <f>IF(V54='Request #4'!V54,"OK","Send in Change Order")</f>
        <v>OK</v>
      </c>
      <c r="S54" s="85">
        <v>43</v>
      </c>
      <c r="T54" s="86" t="str">
        <f>'Request #4'!T54</f>
        <v>Other Fees</v>
      </c>
      <c r="U54" s="218">
        <f>'Request #4'!U54</f>
        <v>0</v>
      </c>
      <c r="V54" s="87">
        <f>'Request #4'!V54</f>
        <v>0</v>
      </c>
      <c r="W54" s="88">
        <f>SUMIF(F7:F79,43,E7:E79)</f>
        <v>0</v>
      </c>
      <c r="X54" s="88">
        <f>'Request #4'!Y54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89" t="str">
        <f>IF(W54&gt;='Request #4'!AA54,"OK","Alert,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6"/>
        <v>49</v>
      </c>
      <c r="H55" s="205" t="str">
        <f t="shared" si="6"/>
        <v>Other Fees</v>
      </c>
      <c r="I55" s="247">
        <f t="shared" si="4"/>
        <v>0</v>
      </c>
      <c r="K55" s="159"/>
      <c r="L55" s="157"/>
      <c r="M55" s="157"/>
      <c r="N55" s="154"/>
      <c r="O55" s="155"/>
      <c r="P55" s="158"/>
      <c r="R55" s="50" t="str">
        <f>IF(V55='Request #4'!V55,"OK","Send in Change Order")</f>
        <v>OK</v>
      </c>
      <c r="S55" s="85">
        <v>44</v>
      </c>
      <c r="T55" s="86" t="str">
        <f>'Request #4'!T55</f>
        <v>Other Fees</v>
      </c>
      <c r="U55" s="218">
        <f>'Request #4'!U55</f>
        <v>0</v>
      </c>
      <c r="V55" s="87">
        <f>'Request #4'!V55</f>
        <v>0</v>
      </c>
      <c r="W55" s="88">
        <f>SUMIF(F7:F79,44,E7:E79)</f>
        <v>0</v>
      </c>
      <c r="X55" s="88">
        <f>'Request #4'!Y55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89" t="str">
        <f>IF(W55&gt;='Request #4'!AA55,"OK","Alert,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6"/>
        <v>50</v>
      </c>
      <c r="H56" s="205" t="str">
        <f t="shared" si="6"/>
        <v>Other Fees</v>
      </c>
      <c r="I56" s="247">
        <f t="shared" si="4"/>
        <v>0</v>
      </c>
      <c r="K56" s="159"/>
      <c r="L56" s="157"/>
      <c r="M56" s="157"/>
      <c r="N56" s="154"/>
      <c r="O56" s="155"/>
      <c r="P56" s="158"/>
      <c r="R56" s="50" t="str">
        <f>IF(V56='Request #4'!V56,"OK","Send in Change Order")</f>
        <v>OK</v>
      </c>
      <c r="S56" s="85">
        <v>45</v>
      </c>
      <c r="T56" s="86" t="str">
        <f>'Request #4'!T56</f>
        <v>Other Fees</v>
      </c>
      <c r="U56" s="218">
        <f>'Request #4'!U56</f>
        <v>0</v>
      </c>
      <c r="V56" s="87">
        <f>'Request #4'!V56</f>
        <v>0</v>
      </c>
      <c r="W56" s="88">
        <f>SUMIF(F7:F79,45,E7:E79)</f>
        <v>0</v>
      </c>
      <c r="X56" s="88">
        <f>'Request #4'!Y56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89" t="str">
        <f>IF(W56&gt;='Request #4'!AA56,"OK","Alert,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H62" si="7">S62</f>
        <v>51</v>
      </c>
      <c r="H57" s="205" t="str">
        <f t="shared" si="7"/>
        <v>Other Fees</v>
      </c>
      <c r="I57" s="247">
        <f t="shared" si="4"/>
        <v>0</v>
      </c>
      <c r="K57" s="159"/>
      <c r="L57" s="157"/>
      <c r="M57" s="157"/>
      <c r="N57" s="154"/>
      <c r="O57" s="155"/>
      <c r="P57" s="158"/>
      <c r="R57" s="50" t="str">
        <f>IF(V57='Request #4'!V57,"OK","Send in Change Order")</f>
        <v>OK</v>
      </c>
      <c r="S57" s="85">
        <v>46</v>
      </c>
      <c r="T57" s="86" t="str">
        <f>'Request #4'!T57</f>
        <v>Other Fees</v>
      </c>
      <c r="U57" s="218">
        <f>'Request #4'!U57</f>
        <v>0</v>
      </c>
      <c r="V57" s="87">
        <f>'Request #4'!V57</f>
        <v>0</v>
      </c>
      <c r="W57" s="88">
        <f>SUMIF(F7:F79,46,E7:E79)</f>
        <v>0</v>
      </c>
      <c r="X57" s="88">
        <f>'Request #4'!Y57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89" t="str">
        <f>IF(W57&gt;='Request #4'!AA57,"OK","Alert,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7"/>
        <v>52</v>
      </c>
      <c r="H58" s="205" t="str">
        <f t="shared" si="7"/>
        <v>Worked Performed by Owner</v>
      </c>
      <c r="I58" s="247">
        <f t="shared" si="4"/>
        <v>0</v>
      </c>
      <c r="K58" s="159"/>
      <c r="L58" s="157"/>
      <c r="M58" s="157"/>
      <c r="N58" s="154"/>
      <c r="O58" s="155"/>
      <c r="P58" s="158"/>
      <c r="R58" s="50" t="str">
        <f>IF(V58='Request #4'!V58,"OK","Send in Change Order")</f>
        <v>OK</v>
      </c>
      <c r="S58" s="85">
        <v>47</v>
      </c>
      <c r="T58" s="86" t="str">
        <f>'Request #4'!T58</f>
        <v>Other Fees</v>
      </c>
      <c r="U58" s="218">
        <f>'Request #4'!U58</f>
        <v>0</v>
      </c>
      <c r="V58" s="87">
        <f>'Request #4'!V58</f>
        <v>0</v>
      </c>
      <c r="W58" s="88">
        <f>SUMIF(F7:F79,47,E7:E79)</f>
        <v>0</v>
      </c>
      <c r="X58" s="88">
        <f>'Request #4'!Y58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89" t="str">
        <f>IF(W58&gt;='Request #4'!AA58,"OK","Alert,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7"/>
        <v>53</v>
      </c>
      <c r="H59" s="205" t="str">
        <f t="shared" si="7"/>
        <v>Equipment (Major)</v>
      </c>
      <c r="I59" s="247">
        <f t="shared" si="4"/>
        <v>0</v>
      </c>
      <c r="K59" s="159"/>
      <c r="L59" s="157"/>
      <c r="M59" s="157"/>
      <c r="N59" s="154"/>
      <c r="O59" s="155"/>
      <c r="P59" s="158"/>
      <c r="R59" s="50" t="str">
        <f>IF(V59='Request #4'!V59,"OK","Send in Change Order")</f>
        <v>OK</v>
      </c>
      <c r="S59" s="85">
        <v>48</v>
      </c>
      <c r="T59" s="86" t="str">
        <f>'Request #4'!T59</f>
        <v>Other Fees</v>
      </c>
      <c r="U59" s="218">
        <f>'Request #4'!U59</f>
        <v>0</v>
      </c>
      <c r="V59" s="87">
        <f>'Request #4'!V59</f>
        <v>0</v>
      </c>
      <c r="W59" s="88">
        <f>SUMIF(F7:F79,48,E7:E79)</f>
        <v>0</v>
      </c>
      <c r="X59" s="88">
        <f>'Request #4'!Y59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89" t="str">
        <f>IF(W59&gt;='Request #4'!AA59,"OK","Alert,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7"/>
        <v>54</v>
      </c>
      <c r="H60" s="205" t="str">
        <f t="shared" si="7"/>
        <v>Contingency Fund</v>
      </c>
      <c r="I60" s="247">
        <f t="shared" si="4"/>
        <v>0</v>
      </c>
      <c r="K60" s="159"/>
      <c r="L60" s="157"/>
      <c r="M60" s="157"/>
      <c r="N60" s="154"/>
      <c r="O60" s="155"/>
      <c r="P60" s="158"/>
      <c r="R60" s="50" t="str">
        <f>IF(V60='Request #4'!V60,"OK","Send in Change Order")</f>
        <v>OK</v>
      </c>
      <c r="S60" s="85">
        <v>49</v>
      </c>
      <c r="T60" s="86" t="str">
        <f>'Request #4'!T60</f>
        <v>Other Fees</v>
      </c>
      <c r="U60" s="218">
        <f>'Request #4'!U60</f>
        <v>0</v>
      </c>
      <c r="V60" s="87">
        <f>'Request #4'!V60</f>
        <v>0</v>
      </c>
      <c r="W60" s="88">
        <f>SUMIF(F7:F79,49,E7:E79)</f>
        <v>0</v>
      </c>
      <c r="X60" s="88">
        <f>'Request #4'!Y60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89" t="str">
        <f>IF(W60&gt;='Request #4'!AA60,"OK","Alert,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7"/>
        <v>55</v>
      </c>
      <c r="H61" s="205">
        <f t="shared" si="7"/>
        <v>0</v>
      </c>
      <c r="I61" s="247">
        <f t="shared" si="4"/>
        <v>0</v>
      </c>
      <c r="K61" s="159"/>
      <c r="L61" s="157"/>
      <c r="M61" s="157"/>
      <c r="N61" s="154"/>
      <c r="O61" s="155"/>
      <c r="P61" s="158"/>
      <c r="R61" s="50" t="str">
        <f>IF(V61='Request #4'!V61,"OK","Send in Change Order")</f>
        <v>OK</v>
      </c>
      <c r="S61" s="85">
        <v>50</v>
      </c>
      <c r="T61" s="86" t="str">
        <f>'Request #4'!T61</f>
        <v>Other Fees</v>
      </c>
      <c r="U61" s="218">
        <f>'Request #4'!U61</f>
        <v>0</v>
      </c>
      <c r="V61" s="87">
        <f>'Request #4'!V61</f>
        <v>0</v>
      </c>
      <c r="W61" s="88">
        <f>SUMIF(F7:F79,50,E7:E79)</f>
        <v>0</v>
      </c>
      <c r="X61" s="88">
        <f>'Request #4'!Y61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89" t="str">
        <f>IF(W61&gt;='Request #4'!AA61,"OK","Alert,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7"/>
        <v>56</v>
      </c>
      <c r="H62" s="205">
        <f t="shared" si="7"/>
        <v>0</v>
      </c>
      <c r="I62" s="247">
        <f t="shared" si="4"/>
        <v>0</v>
      </c>
      <c r="K62" s="159"/>
      <c r="L62" s="157"/>
      <c r="M62" s="157"/>
      <c r="N62" s="154"/>
      <c r="O62" s="155"/>
      <c r="P62" s="158"/>
      <c r="R62" s="50" t="str">
        <f>IF(V62='Request #4'!V62,"OK","Send in Change Order")</f>
        <v>OK</v>
      </c>
      <c r="S62" s="85">
        <v>51</v>
      </c>
      <c r="T62" s="86" t="str">
        <f>'Request #4'!T62</f>
        <v>Other Fees</v>
      </c>
      <c r="U62" s="218">
        <f>'Request #4'!U62</f>
        <v>0</v>
      </c>
      <c r="V62" s="87">
        <f>'Request #4'!V62</f>
        <v>0</v>
      </c>
      <c r="W62" s="88">
        <f>SUMIF(F7:F79,51,E7:E79)</f>
        <v>0</v>
      </c>
      <c r="X62" s="88">
        <f>'Request #4'!Y62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89" t="str">
        <f>IF(W62&gt;='Request #4'!AA62,"OK","Alert,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#4'!V63,"OK","Send in Change Order")</f>
        <v>OK</v>
      </c>
      <c r="S63" s="85">
        <v>52</v>
      </c>
      <c r="T63" s="86" t="str">
        <f>'Request #4'!T63</f>
        <v>Worked Performed by Owner</v>
      </c>
      <c r="U63" s="218">
        <f>'Request #4'!U63</f>
        <v>0</v>
      </c>
      <c r="V63" s="87">
        <f>'Request #4'!V63</f>
        <v>0</v>
      </c>
      <c r="W63" s="88">
        <f>SUMIF(F7:F79,52,E7:E79)</f>
        <v>0</v>
      </c>
      <c r="X63" s="88">
        <f>'Request #4'!Y63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89" t="str">
        <f>IF(W63&gt;='Request #4'!AA63,"OK","Alert,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#4'!V64,"OK","Send in Change Order")</f>
        <v>OK</v>
      </c>
      <c r="S64" s="85">
        <v>53</v>
      </c>
      <c r="T64" s="86" t="str">
        <f>'Request #4'!T64</f>
        <v>Equipment (Major)</v>
      </c>
      <c r="U64" s="218">
        <f>'Request #4'!U64</f>
        <v>0</v>
      </c>
      <c r="V64" s="87">
        <f>'Request #4'!V64</f>
        <v>0</v>
      </c>
      <c r="W64" s="88">
        <f>SUMIF(F7:F79,53,E7:E79)</f>
        <v>0</v>
      </c>
      <c r="X64" s="88">
        <f>'Request #4'!Y64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89" t="str">
        <f>IF(W64&gt;='Request #4'!AA64,"OK","Alert,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#4'!V65,"OK","Send in Change Order")</f>
        <v>OK</v>
      </c>
      <c r="S65" s="85">
        <v>54</v>
      </c>
      <c r="T65" s="102" t="s">
        <v>90</v>
      </c>
      <c r="U65" s="218">
        <f>'Request #4'!U65</f>
        <v>0</v>
      </c>
      <c r="V65" s="87">
        <f>'Request #4'!V65</f>
        <v>0</v>
      </c>
      <c r="W65" s="104"/>
      <c r="X65" s="88">
        <f>'Request #4'!Y65</f>
        <v>0</v>
      </c>
      <c r="Y65" s="88">
        <f t="shared" si="2"/>
        <v>0</v>
      </c>
      <c r="Z65" s="88">
        <f t="shared" si="3"/>
        <v>0</v>
      </c>
      <c r="AA65" s="104"/>
      <c r="AB65" s="89" t="str">
        <f>IF(W65&gt;='Request #4'!AA65,"OK","Alert,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#4'!V66,"OK","Send in Change Order")</f>
        <v>OK</v>
      </c>
      <c r="S66" s="85">
        <v>55</v>
      </c>
      <c r="T66" s="86"/>
      <c r="U66" s="218">
        <f>'Request #4'!U66</f>
        <v>0</v>
      </c>
      <c r="V66" s="87">
        <f>'Request #4'!V66</f>
        <v>0</v>
      </c>
      <c r="W66" s="88">
        <f>SUMIF(F7:F79,55,E7:E79)</f>
        <v>0</v>
      </c>
      <c r="X66" s="88">
        <f>'Request #4'!Y66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89" t="str">
        <f>IF(W66&gt;='Request #4'!AA66,"OK","Alert,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#4'!V67,"OK","Send in Change Order")</f>
        <v>OK</v>
      </c>
      <c r="S67" s="85">
        <v>56</v>
      </c>
      <c r="T67" s="79"/>
      <c r="U67" s="218">
        <f>'Request #4'!U67</f>
        <v>0</v>
      </c>
      <c r="V67" s="87">
        <f>'Request #4'!V67</f>
        <v>0</v>
      </c>
      <c r="W67" s="88">
        <f>SUMIF(F7:F79,56,E7:E79)</f>
        <v>0</v>
      </c>
      <c r="X67" s="88">
        <f>'Request #4'!Y67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89" t="str">
        <f>IF(W67&gt;='Request #4'!AA67,"OK","Alert,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#4'!V68,"OK","Send in Change Order")</f>
        <v>OK</v>
      </c>
      <c r="S68" s="316" t="s">
        <v>60</v>
      </c>
      <c r="T68" s="317"/>
      <c r="U68" s="166" t="s">
        <v>91</v>
      </c>
      <c r="V68" s="263">
        <f t="shared" ref="V68:AA68" si="8">SUM(V12:V67)</f>
        <v>0</v>
      </c>
      <c r="W68" s="105">
        <f t="shared" si="8"/>
        <v>0</v>
      </c>
      <c r="X68" s="105">
        <f t="shared" si="8"/>
        <v>0</v>
      </c>
      <c r="Y68" s="105">
        <f t="shared" si="8"/>
        <v>0</v>
      </c>
      <c r="Z68" s="105">
        <f t="shared" si="8"/>
        <v>0</v>
      </c>
      <c r="AA68" s="105">
        <f t="shared" si="8"/>
        <v>0</v>
      </c>
      <c r="AB68" s="89" t="str">
        <f>IF(W68&gt;='Request #4'!AA68,"OK","Alert,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108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167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190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119" t="e">
        <f>V72/V68</f>
        <v>#DIV/0!</v>
      </c>
      <c r="V72" s="88">
        <f>V68-V74-V73</f>
        <v>0</v>
      </c>
      <c r="W72" s="87">
        <v>0</v>
      </c>
      <c r="X72" s="88">
        <f>'Request #4'!Y72</f>
        <v>0</v>
      </c>
      <c r="Y72" s="88">
        <f t="shared" ref="Y72:Y73" si="9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#4'!V73,"OK","Send in Change Order")</f>
        <v>OK</v>
      </c>
      <c r="S73" s="86" t="s">
        <v>95</v>
      </c>
      <c r="T73" s="114"/>
      <c r="U73" s="119" t="e">
        <f>V73/V68</f>
        <v>#DIV/0!</v>
      </c>
      <c r="V73" s="87">
        <f>'Request #4'!V73</f>
        <v>0</v>
      </c>
      <c r="W73" s="87">
        <v>0</v>
      </c>
      <c r="X73" s="88">
        <f>'Request #4'!Y73</f>
        <v>0</v>
      </c>
      <c r="Y73" s="88">
        <f t="shared" si="9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#4'!V74,"OK","Send in Change Order")</f>
        <v>OK</v>
      </c>
      <c r="S74" s="120" t="s">
        <v>96</v>
      </c>
      <c r="T74" s="121"/>
      <c r="U74" s="119" t="e">
        <f>V74/V68</f>
        <v>#DIV/0!</v>
      </c>
      <c r="V74" s="87">
        <f>'Request #4'!V74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55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129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114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114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136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SUM(E45:E79)</f>
        <v>0</v>
      </c>
      <c r="F80" s="158"/>
      <c r="G80" s="192"/>
      <c r="K80" s="160" t="s">
        <v>107</v>
      </c>
      <c r="L80" s="161"/>
      <c r="M80" s="162"/>
      <c r="N80" s="161"/>
      <c r="O80" s="163">
        <f>SUM(O45:O79)</f>
        <v>0</v>
      </c>
      <c r="P80" s="158"/>
      <c r="S80" s="137"/>
      <c r="T80" s="55"/>
      <c r="U80" s="55"/>
      <c r="V80" s="55"/>
      <c r="W80" s="55"/>
      <c r="X80" s="138"/>
      <c r="Y80" s="45" t="s">
        <v>108</v>
      </c>
      <c r="Z80" s="43"/>
      <c r="AA80" s="88">
        <f>'Request #4'!AA79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5</v>
      </c>
      <c r="V87" s="55"/>
      <c r="W87" s="55"/>
      <c r="X87" s="138"/>
      <c r="Y87" s="45" t="s">
        <v>108</v>
      </c>
      <c r="Z87" s="43"/>
      <c r="AA87" s="88">
        <f>'Request #4'!AA86</f>
        <v>0</v>
      </c>
      <c r="AB87" s="110"/>
    </row>
    <row r="88" spans="1:28" ht="30" customHeight="1" thickBot="1" x14ac:dyDescent="0.35">
      <c r="S88" s="55"/>
      <c r="T88" s="55"/>
      <c r="U88" s="55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55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55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55"/>
      <c r="V91" s="55"/>
      <c r="W91" s="55"/>
      <c r="X91" s="55"/>
    </row>
    <row r="92" spans="1:28" ht="30" customHeight="1" x14ac:dyDescent="0.3">
      <c r="S92" s="55"/>
      <c r="T92" s="55"/>
      <c r="U92" s="55"/>
      <c r="V92" s="55"/>
      <c r="W92" s="55"/>
      <c r="X92" s="55"/>
    </row>
    <row r="93" spans="1:28" ht="30" customHeight="1" x14ac:dyDescent="0.3">
      <c r="S93" s="55"/>
      <c r="T93" s="55"/>
      <c r="U93" s="55"/>
      <c r="V93" s="55"/>
      <c r="W93" s="55"/>
      <c r="X93" s="55"/>
    </row>
    <row r="94" spans="1:28" ht="30" customHeight="1" x14ac:dyDescent="0.3">
      <c r="S94" s="55"/>
      <c r="T94" s="55"/>
      <c r="U94" s="55"/>
      <c r="V94" s="55"/>
      <c r="W94" s="55"/>
      <c r="X94" s="55"/>
    </row>
    <row r="95" spans="1:28" ht="30" customHeight="1" x14ac:dyDescent="0.3">
      <c r="S95" s="55"/>
      <c r="T95" s="55"/>
      <c r="U95" s="55"/>
      <c r="V95" s="55"/>
      <c r="W95" s="55"/>
      <c r="X95" s="55"/>
    </row>
    <row r="96" spans="1:28" ht="30" customHeight="1" x14ac:dyDescent="0.3">
      <c r="S96" s="55"/>
      <c r="T96" s="55"/>
      <c r="U96" s="55"/>
      <c r="V96" s="55"/>
      <c r="W96" s="55"/>
      <c r="X96" s="55"/>
    </row>
    <row r="97" spans="15:24" ht="30" customHeight="1" x14ac:dyDescent="0.3">
      <c r="S97" s="55"/>
      <c r="T97" s="55"/>
      <c r="U97" s="55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1LTG/9MCWyoFdSMHR5t8fVX9bjpRx4E+YlWCA9ZOI3wp3fbOnsVAkLfBV1kUdZzBIzXYF+6xH5Am4MfW5YoebA==" saltValue="1YraqC7AExtHvepc6ugrSg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396" priority="9" operator="containsText" text="Change">
      <formula>NOT(ISERROR(SEARCH("Change",R1)))</formula>
    </cfRule>
  </conditionalFormatting>
  <conditionalFormatting sqref="R45:R48">
    <cfRule type="cellIs" dxfId="395" priority="7" operator="equal">
      <formula>"Send in Change Order"</formula>
    </cfRule>
  </conditionalFormatting>
  <conditionalFormatting sqref="W68">
    <cfRule type="cellIs" dxfId="394" priority="2" operator="notEqual">
      <formula>$E$82</formula>
    </cfRule>
    <cfRule type="cellIs" dxfId="393" priority="3" operator="greaterThan">
      <formula>$E$82</formula>
    </cfRule>
    <cfRule type="cellIs" dxfId="392" priority="4" operator="notEqual">
      <formula>$E$82</formula>
    </cfRule>
  </conditionalFormatting>
  <conditionalFormatting sqref="Z12:Z44">
    <cfRule type="cellIs" dxfId="391" priority="8" operator="lessThan">
      <formula>0</formula>
    </cfRule>
  </conditionalFormatting>
  <conditionalFormatting sqref="Z49:Z68">
    <cfRule type="cellIs" dxfId="390" priority="5" operator="lessThan">
      <formula>0</formula>
    </cfRule>
  </conditionalFormatting>
  <conditionalFormatting sqref="AA68">
    <cfRule type="cellIs" dxfId="389" priority="1" operator="notEqual">
      <formula>$O$82</formula>
    </cfRule>
  </conditionalFormatting>
  <conditionalFormatting sqref="AB1:AB1048576">
    <cfRule type="containsText" dxfId="388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1" manualBreakCount="11">
    <brk id="6" max="88" man="1"/>
    <brk id="10" max="1048575" man="1"/>
    <brk id="16" max="1048575" man="1"/>
    <brk id="18" max="88" man="1"/>
    <brk id="27" max="88" man="1"/>
    <brk id="29" max="1048575" man="1"/>
    <brk id="52" max="1048575" man="1"/>
    <brk id="99" max="1048575" man="1"/>
    <brk id="101" max="1048575" man="1"/>
    <brk id="110" max="1048575" man="1"/>
    <brk id="1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135"/>
  <sheetViews>
    <sheetView view="pageBreakPreview" topLeftCell="K1" zoomScale="60" zoomScaleNormal="100" workbookViewId="0">
      <selection activeCell="T20" sqref="T20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8.8867187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9.109375" style="50" customWidth="1"/>
    <col min="19" max="19" width="6.21875" style="39" customWidth="1"/>
    <col min="20" max="20" width="31.44140625" style="39" customWidth="1"/>
    <col min="21" max="21" width="17.77734375" style="206" customWidth="1"/>
    <col min="22" max="27" width="18.88671875" style="39" customWidth="1"/>
    <col min="28" max="28" width="25.2187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62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6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62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62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77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07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08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6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114"/>
      <c r="T11" s="79"/>
      <c r="U11" s="90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#5'!V12,"OK","Send in Change Order")</f>
        <v>OK</v>
      </c>
      <c r="S12" s="85">
        <v>1</v>
      </c>
      <c r="T12" s="86" t="str">
        <f>'Request #5'!T12</f>
        <v>Land/Site Grading &amp; Improv.</v>
      </c>
      <c r="U12" s="218">
        <f>'Request #5'!U12</f>
        <v>0</v>
      </c>
      <c r="V12" s="87">
        <f>'Request #5'!V12</f>
        <v>0</v>
      </c>
      <c r="W12" s="88">
        <f>SUMIF(F7:F79,1,E7:E79)</f>
        <v>0</v>
      </c>
      <c r="X12" s="88">
        <f>'Request #5'!Y12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#5'!AA12,"OK","Alert,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#5'!V13,"OK","Send in Change Order")</f>
        <v>OK</v>
      </c>
      <c r="S13" s="85">
        <v>2</v>
      </c>
      <c r="T13" s="86" t="str">
        <f>'Request #5'!T13</f>
        <v xml:space="preserve">General Contract </v>
      </c>
      <c r="U13" s="218">
        <f>'Request #5'!U13</f>
        <v>0</v>
      </c>
      <c r="V13" s="87">
        <f>'Request #5'!V13</f>
        <v>0</v>
      </c>
      <c r="W13" s="88">
        <f>SUMIF(F7:F79,2,E7:E79)</f>
        <v>0</v>
      </c>
      <c r="X13" s="88">
        <f>'Request #5'!Y13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#5'!AA13,"OK","Alert,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#5'!V14,"OK","Send in Change Order")</f>
        <v>OK</v>
      </c>
      <c r="S14" s="85">
        <v>3</v>
      </c>
      <c r="T14" s="86" t="str">
        <f>'Request #5'!T14</f>
        <v>Designer Contract</v>
      </c>
      <c r="U14" s="218">
        <f>'Request #5'!U14</f>
        <v>0</v>
      </c>
      <c r="V14" s="87">
        <v>0</v>
      </c>
      <c r="W14" s="88">
        <f>SUMIF(F7:F79,3,E7:E79)</f>
        <v>0</v>
      </c>
      <c r="X14" s="88">
        <f>'Request #5'!Y14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#5'!AA14,"OK","Alert,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#5'!V15,"OK","Send in Change Order")</f>
        <v>OK</v>
      </c>
      <c r="S15" s="85">
        <v>4</v>
      </c>
      <c r="T15" s="86" t="str">
        <f>'Request #5'!T15</f>
        <v>Designer Reimbursables</v>
      </c>
      <c r="U15" s="218">
        <f>'Request #5'!U15</f>
        <v>0</v>
      </c>
      <c r="V15" s="87">
        <f>'Request #5'!V15</f>
        <v>0</v>
      </c>
      <c r="W15" s="88">
        <f>SUMIF(F7:F79,4,E7:E79)</f>
        <v>0</v>
      </c>
      <c r="X15" s="88">
        <f>'Request #5'!Y15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#5'!AA15,"OK","Alert,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#5'!V16,"OK","Send in Change Order")</f>
        <v>OK</v>
      </c>
      <c r="S16" s="85">
        <v>5</v>
      </c>
      <c r="T16" s="86" t="str">
        <f>'Request #5'!T16</f>
        <v>Other Contracts</v>
      </c>
      <c r="U16" s="218">
        <f>'Request #5'!U16</f>
        <v>0</v>
      </c>
      <c r="V16" s="87">
        <f>'Request #5'!V16</f>
        <v>0</v>
      </c>
      <c r="W16" s="88">
        <f>SUMIF(F7:F79,5,E7:E79)</f>
        <v>0</v>
      </c>
      <c r="X16" s="88">
        <f>'Request #5'!Y16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#5'!AA16,"OK","Alert,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#5'!V17,"OK","Send in Change Order")</f>
        <v>OK</v>
      </c>
      <c r="S17" s="85">
        <v>6</v>
      </c>
      <c r="T17" s="86" t="str">
        <f>'Request #5'!T17</f>
        <v>Other Contracts</v>
      </c>
      <c r="U17" s="218">
        <f>'Request #5'!U17</f>
        <v>0</v>
      </c>
      <c r="V17" s="87">
        <f>'Request #5'!V17</f>
        <v>0</v>
      </c>
      <c r="W17" s="88">
        <f>SUMIF(F7:F79,6,E7:E79)</f>
        <v>0</v>
      </c>
      <c r="X17" s="88">
        <f>'Request #5'!Y17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#5'!AA17,"OK","Alert,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#5'!V18,"OK","Send in Change Order")</f>
        <v>OK</v>
      </c>
      <c r="S18" s="85">
        <v>7</v>
      </c>
      <c r="T18" s="86" t="str">
        <f>'Request #5'!T18</f>
        <v>Other Contracts</v>
      </c>
      <c r="U18" s="218">
        <f>'Request #5'!U18</f>
        <v>0</v>
      </c>
      <c r="V18" s="87">
        <f>'Request #5'!V18</f>
        <v>0</v>
      </c>
      <c r="W18" s="88">
        <f>SUMIF(F7:F79,7,E7:E79)</f>
        <v>0</v>
      </c>
      <c r="X18" s="88">
        <f>'Request #5'!Y18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#5'!AA18,"OK","Alert,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#5'!V19,"OK","Send in Change Order")</f>
        <v>OK</v>
      </c>
      <c r="S19" s="85">
        <v>8</v>
      </c>
      <c r="T19" s="86" t="str">
        <f>'Request #5'!T19</f>
        <v>Other Contracts</v>
      </c>
      <c r="U19" s="218">
        <f>'Request #5'!U19</f>
        <v>0</v>
      </c>
      <c r="V19" s="87">
        <f>'Request #5'!V19</f>
        <v>0</v>
      </c>
      <c r="W19" s="88">
        <f>SUMIF(F7:F79,8,E7:E79)</f>
        <v>0</v>
      </c>
      <c r="X19" s="88">
        <f>'Request #5'!Y19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#5'!AA19,"OK","Alert,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#5'!V20,"OK","Send in Change Order")</f>
        <v>OK</v>
      </c>
      <c r="S20" s="85">
        <v>9</v>
      </c>
      <c r="T20" s="86" t="str">
        <f>'Request #5'!T20</f>
        <v>Other Contracts</v>
      </c>
      <c r="U20" s="218">
        <f>'Request #5'!U20</f>
        <v>0</v>
      </c>
      <c r="V20" s="87">
        <f>'Request #5'!V20</f>
        <v>0</v>
      </c>
      <c r="W20" s="88">
        <f>SUMIF(F7:F79,9,E7:E79)</f>
        <v>0</v>
      </c>
      <c r="X20" s="88">
        <f>'Request #5'!Y20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#5'!AA20,"OK","Alert,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#5'!V21,"OK","Send in Change Order")</f>
        <v>OK</v>
      </c>
      <c r="S21" s="85">
        <v>10</v>
      </c>
      <c r="T21" s="86" t="str">
        <f>'Request #5'!T21</f>
        <v>Other Contracts</v>
      </c>
      <c r="U21" s="218">
        <f>'Request #5'!U21</f>
        <v>0</v>
      </c>
      <c r="V21" s="87">
        <f>'Request #5'!V21</f>
        <v>0</v>
      </c>
      <c r="W21" s="88">
        <f>SUMIF(F7:F79,10,E7:E79)</f>
        <v>0</v>
      </c>
      <c r="X21" s="88">
        <f>'Request #5'!Y21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#5'!AA21,"OK","Alert,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#5'!V22,"OK","Send in Change Order")</f>
        <v>OK</v>
      </c>
      <c r="S22" s="85">
        <v>11</v>
      </c>
      <c r="T22" s="86" t="str">
        <f>'Request #5'!T22</f>
        <v>Other Contracts</v>
      </c>
      <c r="U22" s="218">
        <f>'Request #5'!U22</f>
        <v>0</v>
      </c>
      <c r="V22" s="87">
        <f>'Request #5'!V22</f>
        <v>0</v>
      </c>
      <c r="W22" s="88">
        <f>SUMIF(F7:F79,11,E7:E79)</f>
        <v>0</v>
      </c>
      <c r="X22" s="88">
        <f>'Request #5'!Y22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#5'!AA22,"OK","Alert,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#5'!V23,"OK","Send in Change Order")</f>
        <v>OK</v>
      </c>
      <c r="S23" s="85">
        <v>12</v>
      </c>
      <c r="T23" s="86" t="str">
        <f>'Request #5'!T23</f>
        <v>Other Contracts</v>
      </c>
      <c r="U23" s="218">
        <f>'Request #5'!U23</f>
        <v>0</v>
      </c>
      <c r="V23" s="87">
        <f>'Request #5'!V23</f>
        <v>0</v>
      </c>
      <c r="W23" s="88">
        <f>SUMIF(F7:F79,12,E7:E79)</f>
        <v>0</v>
      </c>
      <c r="X23" s="88">
        <f>'Request #5'!Y23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#5'!AA23,"OK","Alert,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#5'!V24,"OK","Send in Change Order")</f>
        <v>OK</v>
      </c>
      <c r="S24" s="85">
        <v>13</v>
      </c>
      <c r="T24" s="86" t="str">
        <f>'Request #5'!T24</f>
        <v>Other Contracts</v>
      </c>
      <c r="U24" s="218">
        <f>'Request #5'!U24</f>
        <v>0</v>
      </c>
      <c r="V24" s="87">
        <f>'Request #5'!V24</f>
        <v>0</v>
      </c>
      <c r="W24" s="88">
        <f>SUMIF(F7:F79,13,E7:E79)</f>
        <v>0</v>
      </c>
      <c r="X24" s="88">
        <f>'Request #5'!Y24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#5'!AA24,"OK","Alert,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#5'!V25,"OK","Send in Change Order")</f>
        <v>OK</v>
      </c>
      <c r="S25" s="85">
        <v>14</v>
      </c>
      <c r="T25" s="86" t="str">
        <f>'Request #5'!T25</f>
        <v>Other Contracts</v>
      </c>
      <c r="U25" s="218">
        <f>'Request #5'!U25</f>
        <v>0</v>
      </c>
      <c r="V25" s="87">
        <f>'Request #5'!V25</f>
        <v>0</v>
      </c>
      <c r="W25" s="88">
        <f>SUMIF(F7:F79,14,E7:E79)</f>
        <v>0</v>
      </c>
      <c r="X25" s="88">
        <f>'Request #5'!Y25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#5'!AA25,"OK","Alert,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#5'!V26,"OK","Send in Change Order")</f>
        <v>OK</v>
      </c>
      <c r="S26" s="85">
        <v>15</v>
      </c>
      <c r="T26" s="86" t="str">
        <f>'Request #5'!T26</f>
        <v>Other Contracts</v>
      </c>
      <c r="U26" s="218">
        <f>'Request #5'!U26</f>
        <v>0</v>
      </c>
      <c r="V26" s="87">
        <f>'Request #5'!V26</f>
        <v>0</v>
      </c>
      <c r="W26" s="88">
        <f>SUMIF(F7:F79,15,E7:E79)</f>
        <v>0</v>
      </c>
      <c r="X26" s="88">
        <f>'Request #5'!Y26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#5'!AA26,"OK","Alert,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#5'!V27,"OK","Send in Change Order")</f>
        <v>OK</v>
      </c>
      <c r="S27" s="85">
        <v>16</v>
      </c>
      <c r="T27" s="86" t="str">
        <f>'Request #5'!T27</f>
        <v>Other Contracts</v>
      </c>
      <c r="U27" s="218">
        <f>'Request #5'!U27</f>
        <v>0</v>
      </c>
      <c r="V27" s="87">
        <f>'Request #5'!V27</f>
        <v>0</v>
      </c>
      <c r="W27" s="88">
        <f>SUMIF(F7:F79,16,E7:E79)</f>
        <v>0</v>
      </c>
      <c r="X27" s="88">
        <f>'Request #5'!Y27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#5'!AA27,"OK","Alert,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#5'!V28,"OK","Send in Change Order")</f>
        <v>OK</v>
      </c>
      <c r="S28" s="85">
        <v>17</v>
      </c>
      <c r="T28" s="86" t="str">
        <f>'Request #5'!T28</f>
        <v>Other Contracts</v>
      </c>
      <c r="U28" s="218">
        <f>'Request #5'!U28</f>
        <v>0</v>
      </c>
      <c r="V28" s="87">
        <f>'Request #5'!V28</f>
        <v>0</v>
      </c>
      <c r="W28" s="88">
        <f>SUMIF(F7:F79,17,E7:E79)</f>
        <v>0</v>
      </c>
      <c r="X28" s="88">
        <f>'Request #5'!Y28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#5'!AA28,"OK","Alert,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#5'!V29,"OK","Send in Change Order")</f>
        <v>OK</v>
      </c>
      <c r="S29" s="85">
        <v>18</v>
      </c>
      <c r="T29" s="86" t="str">
        <f>'Request #5'!T29</f>
        <v>Other Contracts</v>
      </c>
      <c r="U29" s="218">
        <f>'Request #5'!U29</f>
        <v>0</v>
      </c>
      <c r="V29" s="87">
        <f>'Request #5'!V29</f>
        <v>0</v>
      </c>
      <c r="W29" s="88">
        <f>SUMIF(F7:F79,18,E7:E79)</f>
        <v>0</v>
      </c>
      <c r="X29" s="88">
        <f>'Request #5'!Y29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#5'!AA29,"OK","Alert,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#5'!V30,"OK","Send in Change Order")</f>
        <v>OK</v>
      </c>
      <c r="S30" s="85">
        <v>19</v>
      </c>
      <c r="T30" s="86" t="str">
        <f>'Request #5'!T30</f>
        <v>Other Contracts</v>
      </c>
      <c r="U30" s="218">
        <f>'Request #5'!U30</f>
        <v>0</v>
      </c>
      <c r="V30" s="87">
        <f>'Request #5'!V30</f>
        <v>0</v>
      </c>
      <c r="W30" s="88">
        <f>SUMIF(F7:F79,19,E7:E79)</f>
        <v>0</v>
      </c>
      <c r="X30" s="88">
        <f>'Request #5'!Y30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#5'!AA30,"OK","Alert,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#5'!V31,"OK","Send in Change Order")</f>
        <v>OK</v>
      </c>
      <c r="S31" s="85">
        <v>20</v>
      </c>
      <c r="T31" s="86" t="str">
        <f>'Request #5'!T31</f>
        <v>Other Contracts</v>
      </c>
      <c r="U31" s="218">
        <f>'Request #5'!U31</f>
        <v>0</v>
      </c>
      <c r="V31" s="87">
        <f>'Request #5'!V31</f>
        <v>0</v>
      </c>
      <c r="W31" s="88">
        <f>SUMIF(F7:F79,20,E7:E79)</f>
        <v>0</v>
      </c>
      <c r="X31" s="88">
        <f>'Request #5'!Y31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#5'!AA31,"OK","Alert,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#5'!V32,"OK","Send in Change Order")</f>
        <v>OK</v>
      </c>
      <c r="S32" s="85">
        <v>21</v>
      </c>
      <c r="T32" s="86" t="str">
        <f>'Request #5'!T32</f>
        <v>Other Contracts</v>
      </c>
      <c r="U32" s="218">
        <f>'Request #5'!U32</f>
        <v>0</v>
      </c>
      <c r="V32" s="87">
        <f>'Request #5'!V32</f>
        <v>0</v>
      </c>
      <c r="W32" s="88">
        <f>SUMIF(F7:F79,21,E7:E79)</f>
        <v>0</v>
      </c>
      <c r="X32" s="88">
        <f>'Request #5'!Y32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#5'!AA32,"OK","Alert,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#5'!V33,"OK","Send in Change Order")</f>
        <v>OK</v>
      </c>
      <c r="S33" s="85">
        <v>22</v>
      </c>
      <c r="T33" s="86" t="str">
        <f>'Request #5'!T33</f>
        <v>Other Contracts</v>
      </c>
      <c r="U33" s="218">
        <f>'Request #5'!U33</f>
        <v>0</v>
      </c>
      <c r="V33" s="87">
        <f>'Request #5'!V33</f>
        <v>0</v>
      </c>
      <c r="W33" s="88">
        <f>SUMIF(F7:F79,22,E7:E79)</f>
        <v>0</v>
      </c>
      <c r="X33" s="88">
        <f>'Request #5'!Y33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#5'!AA33,"OK","Alert,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#5'!V34,"OK","Send in Change Order")</f>
        <v>OK</v>
      </c>
      <c r="S34" s="85">
        <v>23</v>
      </c>
      <c r="T34" s="86" t="str">
        <f>'Request #5'!T34</f>
        <v>Other Contracts</v>
      </c>
      <c r="U34" s="218">
        <f>'Request #5'!U34</f>
        <v>0</v>
      </c>
      <c r="V34" s="87">
        <f>'Request #5'!V34</f>
        <v>0</v>
      </c>
      <c r="W34" s="88">
        <f>SUMIF(F7:F79,23,E7:E79)</f>
        <v>0</v>
      </c>
      <c r="X34" s="88">
        <f>'Request #5'!Y34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#5'!AA34,"OK","Alert,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#5'!V35,"OK","Send in Change Order")</f>
        <v>OK</v>
      </c>
      <c r="S35" s="85">
        <v>24</v>
      </c>
      <c r="T35" s="86" t="str">
        <f>'Request #5'!T35</f>
        <v>Other Contracts</v>
      </c>
      <c r="U35" s="218">
        <f>'Request #5'!U35</f>
        <v>0</v>
      </c>
      <c r="V35" s="87">
        <f>'Request #5'!V35</f>
        <v>0</v>
      </c>
      <c r="W35" s="88">
        <f>SUMIF(F7:F79,24,E7:E79)</f>
        <v>0</v>
      </c>
      <c r="X35" s="88">
        <f>'Request #5'!Y35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#5'!AA35,"OK","Alert,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#5'!V36,"OK","Send in Change Order")</f>
        <v>OK</v>
      </c>
      <c r="S36" s="85">
        <v>25</v>
      </c>
      <c r="T36" s="86" t="str">
        <f>'Request #5'!T36</f>
        <v>Other Contracts</v>
      </c>
      <c r="U36" s="218">
        <f>'Request #5'!U36</f>
        <v>0</v>
      </c>
      <c r="V36" s="87">
        <f>'Request #5'!V36</f>
        <v>0</v>
      </c>
      <c r="W36" s="88">
        <f>SUMIF(F7:F79,25,E7:E79)</f>
        <v>0</v>
      </c>
      <c r="X36" s="88">
        <f>'Request #5'!Y36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#5'!AA36,"OK","Alert,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#5'!V37,"OK","Send in Change Order")</f>
        <v>OK</v>
      </c>
      <c r="S37" s="85">
        <v>26</v>
      </c>
      <c r="T37" s="86" t="str">
        <f>'Request #5'!T37</f>
        <v>Other Fees</v>
      </c>
      <c r="U37" s="218">
        <f>'Request #5'!U37</f>
        <v>0</v>
      </c>
      <c r="V37" s="87">
        <f>'Request #5'!V37</f>
        <v>0</v>
      </c>
      <c r="W37" s="88">
        <f>SUMIF(F7:F79,26,E7:E79)</f>
        <v>0</v>
      </c>
      <c r="X37" s="88">
        <f>'Request #5'!Y37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#5'!AA37,"OK","Alert,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#5'!V38,"OK","Send in Change Order")</f>
        <v>OK</v>
      </c>
      <c r="S38" s="85">
        <v>27</v>
      </c>
      <c r="T38" s="86" t="str">
        <f>'Request #5'!T38</f>
        <v>Other Fees</v>
      </c>
      <c r="U38" s="218">
        <f>'Request #5'!U38</f>
        <v>0</v>
      </c>
      <c r="V38" s="87">
        <f>'Request #5'!V38</f>
        <v>0</v>
      </c>
      <c r="W38" s="88">
        <f>SUMIF(F7:F79,27,E7:E79)</f>
        <v>0</v>
      </c>
      <c r="X38" s="88">
        <f>'Request #5'!Y38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#5'!AA38,"OK","Alert,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#5'!V39,"OK","Send in Change Order")</f>
        <v>OK</v>
      </c>
      <c r="S39" s="85">
        <v>28</v>
      </c>
      <c r="T39" s="86" t="str">
        <f>'Request #5'!T39</f>
        <v>Other Fees</v>
      </c>
      <c r="U39" s="218">
        <f>'Request #5'!U39</f>
        <v>0</v>
      </c>
      <c r="V39" s="87">
        <f>'Request #5'!V39</f>
        <v>0</v>
      </c>
      <c r="W39" s="88">
        <f>SUMIF(F7:F79,28,E7:E79)</f>
        <v>0</v>
      </c>
      <c r="X39" s="88">
        <f>'Request #5'!Y39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#5'!AA39,"OK","Alert,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#5'!V40,"OK","Send in Change Order")</f>
        <v>OK</v>
      </c>
      <c r="S40" s="85">
        <v>29</v>
      </c>
      <c r="T40" s="86" t="str">
        <f>'Request #5'!T40</f>
        <v>Other Fees</v>
      </c>
      <c r="U40" s="218">
        <f>'Request #5'!U40</f>
        <v>0</v>
      </c>
      <c r="V40" s="87">
        <f>'Request #5'!V40</f>
        <v>0</v>
      </c>
      <c r="W40" s="88">
        <f>SUMIF(F7:F79,29,E7:E79)</f>
        <v>0</v>
      </c>
      <c r="X40" s="88">
        <f>'Request #5'!Y40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#5'!AA40,"OK","Alert,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#5'!V41,"OK","Send in Change Order")</f>
        <v>OK</v>
      </c>
      <c r="S41" s="85">
        <v>30</v>
      </c>
      <c r="T41" s="86" t="str">
        <f>'Request #5'!T41</f>
        <v>Other Fees</v>
      </c>
      <c r="U41" s="218">
        <f>'Request #5'!U41</f>
        <v>0</v>
      </c>
      <c r="V41" s="87">
        <f>'Request #5'!V41</f>
        <v>0</v>
      </c>
      <c r="W41" s="88">
        <f>SUMIF(F7:F79,30,E7:E79)</f>
        <v>0</v>
      </c>
      <c r="X41" s="88">
        <f>'Request #5'!Y41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#5'!AA41,"OK","Alert,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#5'!V42,"OK","Send in Change Order")</f>
        <v>OK</v>
      </c>
      <c r="S42" s="85">
        <v>31</v>
      </c>
      <c r="T42" s="86" t="str">
        <f>'Request #5'!T42</f>
        <v>Other Fees</v>
      </c>
      <c r="U42" s="218">
        <f>'Request #5'!U42</f>
        <v>0</v>
      </c>
      <c r="V42" s="87">
        <f>'Request #5'!V42</f>
        <v>0</v>
      </c>
      <c r="W42" s="88">
        <f>SUMIF(F7:F79,31,E7:E79)</f>
        <v>0</v>
      </c>
      <c r="X42" s="88">
        <f>'Request #5'!Y42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#5'!AA42,"OK","Alert,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#5'!V43,"OK","Send in Change Order")</f>
        <v>OK</v>
      </c>
      <c r="S43" s="85">
        <v>32</v>
      </c>
      <c r="T43" s="86" t="str">
        <f>'Request #5'!T43</f>
        <v>Other Fees</v>
      </c>
      <c r="U43" s="218">
        <f>'Request #5'!U43</f>
        <v>0</v>
      </c>
      <c r="V43" s="87">
        <f>'Request #5'!V43</f>
        <v>0</v>
      </c>
      <c r="W43" s="88">
        <f>SUMIF(F7:F79,32,E7:E79)</f>
        <v>0</v>
      </c>
      <c r="X43" s="88">
        <f>'Request #5'!Y43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#5'!AA43,"OK","Alert,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#5'!V44,"OK","Send in Change Order")</f>
        <v>OK</v>
      </c>
      <c r="S44" s="85">
        <v>33</v>
      </c>
      <c r="T44" s="86" t="str">
        <f>'Request #5'!T44</f>
        <v>Other Fees</v>
      </c>
      <c r="U44" s="218">
        <f>'Request #5'!U44</f>
        <v>0</v>
      </c>
      <c r="V44" s="87">
        <f>'Request #5'!V44</f>
        <v>0</v>
      </c>
      <c r="W44" s="88">
        <f>SUMIF(F7:F79,33,E7:E79)</f>
        <v>0</v>
      </c>
      <c r="X44" s="88">
        <f>'Request #5'!Y44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#5'!AA44,"OK","Alert,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#5'!V49,"OK","Send in Change Order")</f>
        <v>OK</v>
      </c>
      <c r="S49" s="85">
        <v>38</v>
      </c>
      <c r="T49" s="86" t="str">
        <f>'Request #5'!T49</f>
        <v>Other Fees</v>
      </c>
      <c r="U49" s="218">
        <f>'Request #5'!U49</f>
        <v>0</v>
      </c>
      <c r="V49" s="87">
        <f>'Request #5'!V49</f>
        <v>0</v>
      </c>
      <c r="W49" s="88">
        <f>SUMIF(F7:F79,38,E7:E79)</f>
        <v>0</v>
      </c>
      <c r="X49" s="88">
        <f>'Request #5'!Y49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#5'!AA49,"OK","Alert,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#5'!V50,"OK","Send in Change Order")</f>
        <v>OK</v>
      </c>
      <c r="S50" s="85">
        <v>39</v>
      </c>
      <c r="T50" s="86" t="str">
        <f>'Request #5'!T50</f>
        <v>Other Fees</v>
      </c>
      <c r="U50" s="218">
        <f>'Request #5'!U50</f>
        <v>0</v>
      </c>
      <c r="V50" s="87">
        <f>'Request #5'!V50</f>
        <v>0</v>
      </c>
      <c r="W50" s="88">
        <f>SUMIF(F7:F79,39,E7:E79)</f>
        <v>0</v>
      </c>
      <c r="X50" s="88">
        <f>'Request #5'!Y50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#5'!AA50,"OK","Alert,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#5'!V51,"OK","Send in Change Order")</f>
        <v>OK</v>
      </c>
      <c r="S51" s="85">
        <v>40</v>
      </c>
      <c r="T51" s="86" t="str">
        <f>'Request #5'!T51</f>
        <v>Other Fees</v>
      </c>
      <c r="U51" s="218">
        <f>'Request #5'!U51</f>
        <v>0</v>
      </c>
      <c r="V51" s="87">
        <f>'Request #5'!V51</f>
        <v>0</v>
      </c>
      <c r="W51" s="88">
        <f>SUMIF(F7:F79,40,E7:E79)</f>
        <v>0</v>
      </c>
      <c r="X51" s="88">
        <f>'Request #5'!Y51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#5'!AA51,"OK","Alert,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#5'!V52,"OK","Send in Change Order")</f>
        <v>OK</v>
      </c>
      <c r="S52" s="85">
        <v>41</v>
      </c>
      <c r="T52" s="86" t="str">
        <f>'Request #5'!T52</f>
        <v>Other Fees</v>
      </c>
      <c r="U52" s="218">
        <f>'Request #5'!U52</f>
        <v>0</v>
      </c>
      <c r="V52" s="87">
        <f>'Request #5'!V52</f>
        <v>0</v>
      </c>
      <c r="W52" s="88">
        <f>SUMIF(F7:F79,41,E7:E79)</f>
        <v>0</v>
      </c>
      <c r="X52" s="88">
        <f>'Request #5'!Y52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#5'!AA52,"OK","Alert,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#5'!V53,"OK","Send in Change Order")</f>
        <v>OK</v>
      </c>
      <c r="S53" s="85">
        <v>42</v>
      </c>
      <c r="T53" s="86" t="str">
        <f>'Request #5'!T53</f>
        <v>Other Fees</v>
      </c>
      <c r="U53" s="218">
        <f>'Request #5'!U53</f>
        <v>0</v>
      </c>
      <c r="V53" s="87">
        <f>'Request #5'!V53</f>
        <v>0</v>
      </c>
      <c r="W53" s="88">
        <f>SUMIF(F7:F79,42,E7:E79)</f>
        <v>0</v>
      </c>
      <c r="X53" s="88">
        <f>'Request #5'!Y53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#5'!AA53,"OK","Alert,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#5'!V54,"OK","Send in Change Order")</f>
        <v>OK</v>
      </c>
      <c r="S54" s="85">
        <v>43</v>
      </c>
      <c r="T54" s="86" t="str">
        <f>'Request #5'!T54</f>
        <v>Other Fees</v>
      </c>
      <c r="U54" s="218">
        <f>'Request #5'!U54</f>
        <v>0</v>
      </c>
      <c r="V54" s="87">
        <f>'Request #5'!V54</f>
        <v>0</v>
      </c>
      <c r="W54" s="88">
        <f>SUMIF(F7:F79,43,E7:E79)</f>
        <v>0</v>
      </c>
      <c r="X54" s="88">
        <f>'Request #5'!Y54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#5'!AA54,"OK","Alert,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#5'!V55,"OK","Send in Change Order")</f>
        <v>OK</v>
      </c>
      <c r="S55" s="85">
        <v>44</v>
      </c>
      <c r="T55" s="86" t="str">
        <f>'Request #5'!T55</f>
        <v>Other Fees</v>
      </c>
      <c r="U55" s="218">
        <f>'Request #5'!U55</f>
        <v>0</v>
      </c>
      <c r="V55" s="87">
        <f>'Request #5'!V55</f>
        <v>0</v>
      </c>
      <c r="W55" s="88">
        <f>SUMIF(F7:F79,44,E7:E79)</f>
        <v>0</v>
      </c>
      <c r="X55" s="88">
        <f>'Request #5'!Y55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#5'!AA55,"OK","Alert,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#5'!V56,"OK","Send in Change Order")</f>
        <v>OK</v>
      </c>
      <c r="S56" s="85">
        <v>45</v>
      </c>
      <c r="T56" s="86" t="str">
        <f>'Request #5'!T56</f>
        <v>Other Fees</v>
      </c>
      <c r="U56" s="218">
        <f>'Request #5'!U56</f>
        <v>0</v>
      </c>
      <c r="V56" s="87">
        <f>'Request #5'!V56</f>
        <v>0</v>
      </c>
      <c r="W56" s="88">
        <f>SUMIF(F7:F79,45,E7:E79)</f>
        <v>0</v>
      </c>
      <c r="X56" s="88">
        <f>'Request #5'!Y56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#5'!AA56,"OK","Alert,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#5'!V57,"OK","Send in Change Order")</f>
        <v>OK</v>
      </c>
      <c r="S57" s="85">
        <v>46</v>
      </c>
      <c r="T57" s="86" t="str">
        <f>'Request #5'!T57</f>
        <v>Other Fees</v>
      </c>
      <c r="U57" s="218">
        <f>'Request #5'!U57</f>
        <v>0</v>
      </c>
      <c r="V57" s="87">
        <f>'Request #5'!V57</f>
        <v>0</v>
      </c>
      <c r="W57" s="88">
        <f>SUMIF(F7:F79,46,E7:E79)</f>
        <v>0</v>
      </c>
      <c r="X57" s="88">
        <f>'Request #5'!Y57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#5'!AA57,"OK","Alert,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#5'!V58,"OK","Send in Change Order")</f>
        <v>OK</v>
      </c>
      <c r="S58" s="85">
        <v>47</v>
      </c>
      <c r="T58" s="86" t="str">
        <f>'Request #5'!T58</f>
        <v>Other Fees</v>
      </c>
      <c r="U58" s="218">
        <f>'Request #5'!U58</f>
        <v>0</v>
      </c>
      <c r="V58" s="87">
        <f>'Request #5'!V58</f>
        <v>0</v>
      </c>
      <c r="W58" s="88">
        <f>SUMIF(F7:F79,47,E7:E79)</f>
        <v>0</v>
      </c>
      <c r="X58" s="88">
        <f>'Request #5'!Y58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#5'!AA58,"OK","Alert,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#5'!V59,"OK","Send in Change Order")</f>
        <v>OK</v>
      </c>
      <c r="S59" s="85">
        <v>48</v>
      </c>
      <c r="T59" s="86" t="str">
        <f>'Request #5'!T59</f>
        <v>Other Fees</v>
      </c>
      <c r="U59" s="218">
        <f>'Request #5'!U59</f>
        <v>0</v>
      </c>
      <c r="V59" s="87">
        <f>'Request #5'!V59</f>
        <v>0</v>
      </c>
      <c r="W59" s="88">
        <f>SUMIF(F7:F79,48,E7:E79)</f>
        <v>0</v>
      </c>
      <c r="X59" s="88">
        <f>'Request #5'!Y59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#5'!AA59,"OK","Alert,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#5'!V60,"OK","Send in Change Order")</f>
        <v>OK</v>
      </c>
      <c r="S60" s="85">
        <v>49</v>
      </c>
      <c r="T60" s="86" t="str">
        <f>'Request #5'!T60</f>
        <v>Other Fees</v>
      </c>
      <c r="U60" s="218">
        <f>'Request #5'!U60</f>
        <v>0</v>
      </c>
      <c r="V60" s="87">
        <f>'Request #5'!V60</f>
        <v>0</v>
      </c>
      <c r="W60" s="88">
        <f>SUMIF(F7:F79,49,E7:E79)</f>
        <v>0</v>
      </c>
      <c r="X60" s="88">
        <f>'Request #5'!Y60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#5'!AA60,"OK","Alert,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#5'!V61,"OK","Send in Change Order")</f>
        <v>OK</v>
      </c>
      <c r="S61" s="85">
        <v>50</v>
      </c>
      <c r="T61" s="86" t="str">
        <f>'Request #5'!T61</f>
        <v>Other Fees</v>
      </c>
      <c r="U61" s="218">
        <f>'Request #5'!U61</f>
        <v>0</v>
      </c>
      <c r="V61" s="87">
        <f>'Request #5'!V61</f>
        <v>0</v>
      </c>
      <c r="W61" s="88">
        <f>SUMIF(F7:F79,50,E7:E79)</f>
        <v>0</v>
      </c>
      <c r="X61" s="88">
        <f>'Request #5'!Y61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#5'!AA61,"OK","Alert,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#5'!V62,"OK","Send in Change Order")</f>
        <v>OK</v>
      </c>
      <c r="S62" s="85">
        <v>51</v>
      </c>
      <c r="T62" s="86" t="str">
        <f>'Request #5'!T62</f>
        <v>Other Fees</v>
      </c>
      <c r="U62" s="218">
        <f>'Request #5'!U62</f>
        <v>0</v>
      </c>
      <c r="V62" s="87">
        <f>'Request #5'!V62</f>
        <v>0</v>
      </c>
      <c r="W62" s="88">
        <f>SUMIF(F7:F79,51,E7:E79)</f>
        <v>0</v>
      </c>
      <c r="X62" s="88">
        <f>'Request #5'!Y62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#5'!AA62,"OK","Alert,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#5'!V63,"OK","Send in Change Order")</f>
        <v>OK</v>
      </c>
      <c r="S63" s="85">
        <v>52</v>
      </c>
      <c r="T63" s="86" t="str">
        <f>'Request #5'!T63</f>
        <v>Worked Performed by Owner</v>
      </c>
      <c r="U63" s="218">
        <f>'Request #5'!U63</f>
        <v>0</v>
      </c>
      <c r="V63" s="87">
        <f>'Request #5'!V63</f>
        <v>0</v>
      </c>
      <c r="W63" s="88">
        <f>SUMIF(F7:F79,52,E7:E79)</f>
        <v>0</v>
      </c>
      <c r="X63" s="88">
        <f>'Request #5'!Y63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#5'!AA63,"OK","Alert,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#5'!V64,"OK","Send in Change Order")</f>
        <v>OK</v>
      </c>
      <c r="S64" s="85">
        <v>53</v>
      </c>
      <c r="T64" s="86" t="str">
        <f>'Request #5'!T64</f>
        <v>Equipment (Major)</v>
      </c>
      <c r="U64" s="218">
        <f>'Request #5'!U64</f>
        <v>0</v>
      </c>
      <c r="V64" s="87">
        <f>'Request #5'!V64</f>
        <v>0</v>
      </c>
      <c r="W64" s="88">
        <f>SUMIF(F7:F79,53,E7:E79)</f>
        <v>0</v>
      </c>
      <c r="X64" s="88">
        <f>'Request #5'!Y64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#5'!AA64,"OK","Alert,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#5'!V65,"OK","Send in Change Order")</f>
        <v>OK</v>
      </c>
      <c r="S65" s="85">
        <v>54</v>
      </c>
      <c r="T65" s="102" t="s">
        <v>90</v>
      </c>
      <c r="U65" s="218">
        <f>'Request #5'!U65</f>
        <v>0</v>
      </c>
      <c r="V65" s="87">
        <f>'Request #5'!V65</f>
        <v>0</v>
      </c>
      <c r="W65" s="104"/>
      <c r="X65" s="88">
        <f>'Request #5'!Y65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#5'!AA65,"OK","Alert,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#5'!V66,"OK","Send in Change Order")</f>
        <v>OK</v>
      </c>
      <c r="S66" s="85">
        <v>55</v>
      </c>
      <c r="T66" s="86"/>
      <c r="U66" s="218">
        <f>'Request #5'!U66</f>
        <v>0</v>
      </c>
      <c r="V66" s="87">
        <f>'Request #5'!V66</f>
        <v>0</v>
      </c>
      <c r="W66" s="88">
        <f>SUMIF(F7:F79,55,E7:E79)</f>
        <v>0</v>
      </c>
      <c r="X66" s="88">
        <f>'Request #5'!Y66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#5'!AA66,"OK","Alert,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#5'!V67,"OK","Send in Change Order")</f>
        <v>OK</v>
      </c>
      <c r="S67" s="85">
        <v>56</v>
      </c>
      <c r="T67" s="79"/>
      <c r="U67" s="218">
        <f>'Request #5'!U67</f>
        <v>0</v>
      </c>
      <c r="V67" s="87">
        <f>'Request #5'!V67</f>
        <v>0</v>
      </c>
      <c r="W67" s="88">
        <f>SUMIF(F7:F79,56,E7:E79)</f>
        <v>0</v>
      </c>
      <c r="X67" s="88">
        <f>'Request #5'!Y67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#5'!AA67,"OK","Alert,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#6'!V68,"OK","Send in Change Order")</f>
        <v>OK</v>
      </c>
      <c r="S68" s="316" t="s">
        <v>60</v>
      </c>
      <c r="T68" s="317"/>
      <c r="U68" s="166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#5'!AA68,"OK","Alert,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09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167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10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11" t="e">
        <f>V72/V68</f>
        <v>#DIV/0!</v>
      </c>
      <c r="V72" s="88">
        <f>V68-V74-V73</f>
        <v>0</v>
      </c>
      <c r="W72" s="87">
        <v>0</v>
      </c>
      <c r="X72" s="88">
        <f>'Request #5'!Y72</f>
        <v>0</v>
      </c>
      <c r="Y72" s="88">
        <f t="shared" ref="Y72:Y73" si="8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#6'!V73,"OK","Send in Change Order")</f>
        <v>OK</v>
      </c>
      <c r="S73" s="86" t="s">
        <v>95</v>
      </c>
      <c r="T73" s="114"/>
      <c r="U73" s="211" t="e">
        <f>V73/V68</f>
        <v>#DIV/0!</v>
      </c>
      <c r="V73" s="87">
        <f>'Request #5'!V73</f>
        <v>0</v>
      </c>
      <c r="W73" s="87">
        <v>0</v>
      </c>
      <c r="X73" s="88">
        <f>'Request #5'!Y73</f>
        <v>0</v>
      </c>
      <c r="Y73" s="88">
        <f t="shared" si="8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#6'!V74,"OK","Send in Change Order")</f>
        <v>OK</v>
      </c>
      <c r="S74" s="120" t="s">
        <v>96</v>
      </c>
      <c r="T74" s="121"/>
      <c r="U74" s="211" t="e">
        <f>V74/V68</f>
        <v>#DIV/0!</v>
      </c>
      <c r="V74" s="87">
        <f>'Request #5'!V74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77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12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13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13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14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77"/>
      <c r="V80" s="55"/>
      <c r="W80" s="55"/>
      <c r="X80" s="138"/>
      <c r="Y80" s="45" t="s">
        <v>108</v>
      </c>
      <c r="Z80" s="43"/>
      <c r="AA80" s="88">
        <f>'Request #5'!AA79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6</v>
      </c>
      <c r="V87" s="55"/>
      <c r="W87" s="55"/>
      <c r="X87" s="138"/>
      <c r="Y87" s="45" t="s">
        <v>108</v>
      </c>
      <c r="Z87" s="43"/>
      <c r="AA87" s="88">
        <f>'Request #5'!AA86</f>
        <v>0</v>
      </c>
      <c r="AB87" s="110"/>
    </row>
    <row r="88" spans="1:28" ht="30" customHeight="1" thickBot="1" x14ac:dyDescent="0.35">
      <c r="S88" s="55"/>
      <c r="T88" s="55"/>
      <c r="U88" s="77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77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77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77"/>
      <c r="V91" s="55"/>
      <c r="W91" s="55"/>
      <c r="X91" s="55"/>
    </row>
    <row r="92" spans="1:28" ht="30" customHeight="1" x14ac:dyDescent="0.3">
      <c r="S92" s="55"/>
      <c r="T92" s="55"/>
      <c r="U92" s="77"/>
      <c r="V92" s="55"/>
      <c r="W92" s="55"/>
      <c r="X92" s="55"/>
    </row>
    <row r="93" spans="1:28" ht="30" customHeight="1" x14ac:dyDescent="0.3">
      <c r="S93" s="55"/>
      <c r="T93" s="55"/>
      <c r="U93" s="77"/>
      <c r="V93" s="55"/>
      <c r="W93" s="55"/>
      <c r="X93" s="55"/>
    </row>
    <row r="94" spans="1:28" ht="30" customHeight="1" x14ac:dyDescent="0.3">
      <c r="S94" s="55"/>
      <c r="T94" s="55"/>
      <c r="U94" s="77"/>
      <c r="V94" s="55"/>
      <c r="W94" s="55"/>
      <c r="X94" s="55"/>
    </row>
    <row r="95" spans="1:28" ht="30" customHeight="1" x14ac:dyDescent="0.3">
      <c r="S95" s="55"/>
      <c r="T95" s="55"/>
      <c r="U95" s="77"/>
      <c r="V95" s="55"/>
      <c r="W95" s="55"/>
      <c r="X95" s="55"/>
    </row>
    <row r="96" spans="1:28" ht="30" customHeight="1" x14ac:dyDescent="0.3">
      <c r="S96" s="55"/>
      <c r="T96" s="55"/>
      <c r="U96" s="77"/>
      <c r="V96" s="55"/>
      <c r="W96" s="55"/>
      <c r="X96" s="55"/>
    </row>
    <row r="97" spans="15:24" ht="30" customHeight="1" x14ac:dyDescent="0.3">
      <c r="S97" s="55"/>
      <c r="T97" s="55"/>
      <c r="U97" s="77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nmZ5mDGgy8i1uJeZbjp9eLY5b+qu5IazbZV8myvl2nMkoSRKRrsy9xZvkz3pmNlSnLBeGtK88VIc3XkLxDBNgw==" saltValue="a6ahyLjE8GcW/EYCN4dPpg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387" priority="9" operator="containsText" text="Change">
      <formula>NOT(ISERROR(SEARCH("Change",R1)))</formula>
    </cfRule>
  </conditionalFormatting>
  <conditionalFormatting sqref="R45:R48">
    <cfRule type="cellIs" dxfId="386" priority="7" operator="equal">
      <formula>"Send in Change Order"</formula>
    </cfRule>
  </conditionalFormatting>
  <conditionalFormatting sqref="W68">
    <cfRule type="cellIs" dxfId="385" priority="2" operator="notEqual">
      <formula>$E$82</formula>
    </cfRule>
    <cfRule type="cellIs" dxfId="384" priority="3" operator="greaterThan">
      <formula>$E$82</formula>
    </cfRule>
    <cfRule type="cellIs" dxfId="383" priority="4" operator="notEqual">
      <formula>$E$82</formula>
    </cfRule>
  </conditionalFormatting>
  <conditionalFormatting sqref="Z12:Z44">
    <cfRule type="cellIs" dxfId="382" priority="8" operator="lessThan">
      <formula>0</formula>
    </cfRule>
  </conditionalFormatting>
  <conditionalFormatting sqref="Z49:Z68">
    <cfRule type="cellIs" dxfId="381" priority="5" operator="lessThan">
      <formula>0</formula>
    </cfRule>
  </conditionalFormatting>
  <conditionalFormatting sqref="AA68">
    <cfRule type="cellIs" dxfId="380" priority="1" operator="notEqual">
      <formula>$O$82</formula>
    </cfRule>
  </conditionalFormatting>
  <conditionalFormatting sqref="AB1:AB1048576">
    <cfRule type="containsText" dxfId="379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2" manualBreakCount="2">
    <brk id="44" max="16383" man="1"/>
    <brk id="89" max="16383" man="1"/>
  </rowBreaks>
  <colBreaks count="12" manualBreakCount="12">
    <brk id="6" max="88" man="1"/>
    <brk id="10" max="1048575" man="1"/>
    <brk id="16" max="1048575" man="1"/>
    <brk id="18" max="1048575" man="1"/>
    <brk id="27" max="88" man="1"/>
    <brk id="29" max="1048575" man="1"/>
    <brk id="51" max="1048575" man="1"/>
    <brk id="52" max="1048575" man="1"/>
    <brk id="99" max="1048575" man="1"/>
    <brk id="101" max="1048575" man="1"/>
    <brk id="110" max="1048575" man="1"/>
    <brk id="1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135"/>
  <sheetViews>
    <sheetView view="pageBreakPreview" zoomScale="60" zoomScaleNormal="100" workbookViewId="0">
      <selection activeCell="G1" sqref="G1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2187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9" style="50" customWidth="1"/>
    <col min="19" max="19" width="7" style="39" customWidth="1"/>
    <col min="20" max="20" width="30.88671875" style="39" customWidth="1"/>
    <col min="21" max="21" width="17.77734375" style="206" customWidth="1"/>
    <col min="22" max="27" width="18.88671875" style="39" customWidth="1"/>
    <col min="28" max="28" width="25.7773437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62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7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62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62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77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07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08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7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114"/>
      <c r="T11" s="79"/>
      <c r="U11" s="90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#6'!V12,"OK","Send in Change Order")</f>
        <v>OK</v>
      </c>
      <c r="S12" s="85">
        <v>1</v>
      </c>
      <c r="T12" s="86" t="str">
        <f>'Request #6'!T12</f>
        <v>Land/Site Grading &amp; Improv.</v>
      </c>
      <c r="U12" s="218">
        <f>'Request #6'!U12</f>
        <v>0</v>
      </c>
      <c r="V12" s="87">
        <f>'Request #6'!V12</f>
        <v>0</v>
      </c>
      <c r="W12" s="88">
        <f>SUMIF(F7:F79,1,E7:E79)</f>
        <v>0</v>
      </c>
      <c r="X12" s="88">
        <f>'Request #6'!Y12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#6'!AA12,"OK","Alert,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#6'!V13,"OK","Send in Change Order")</f>
        <v>OK</v>
      </c>
      <c r="S13" s="85">
        <v>2</v>
      </c>
      <c r="T13" s="86" t="str">
        <f>'Request #6'!T13</f>
        <v xml:space="preserve">General Contract </v>
      </c>
      <c r="U13" s="218">
        <f>'Request #6'!U13</f>
        <v>0</v>
      </c>
      <c r="V13" s="87">
        <f>'Request #6'!V13</f>
        <v>0</v>
      </c>
      <c r="W13" s="88">
        <f>SUMIF(F7:F79,2,E7:E79)</f>
        <v>0</v>
      </c>
      <c r="X13" s="88">
        <f>'Request #6'!Y13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#6'!AA13,"OK","Alert,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#6'!V14,"OK","Send in Change Order")</f>
        <v>OK</v>
      </c>
      <c r="S14" s="85">
        <v>3</v>
      </c>
      <c r="T14" s="86" t="str">
        <f>'Request #6'!T14</f>
        <v>Designer Contract</v>
      </c>
      <c r="U14" s="218">
        <f>'Request #6'!U14</f>
        <v>0</v>
      </c>
      <c r="V14" s="87">
        <f>'Request #6'!V14</f>
        <v>0</v>
      </c>
      <c r="W14" s="88">
        <f>SUMIF(F7:F79,3,E7:E79)</f>
        <v>0</v>
      </c>
      <c r="X14" s="88">
        <f>'Request #6'!Y14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#6'!AA14,"OK","Alert,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#6'!V15,"OK","Send in Change Order")</f>
        <v>OK</v>
      </c>
      <c r="S15" s="85">
        <v>4</v>
      </c>
      <c r="T15" s="86" t="str">
        <f>'Request #6'!T15</f>
        <v>Designer Reimbursables</v>
      </c>
      <c r="U15" s="218">
        <f>'Request #6'!U15</f>
        <v>0</v>
      </c>
      <c r="V15" s="87">
        <f>'Request #6'!V15</f>
        <v>0</v>
      </c>
      <c r="W15" s="88">
        <f>SUMIF(F7:F79,4,E7:E79)</f>
        <v>0</v>
      </c>
      <c r="X15" s="88">
        <f>'Request #6'!Y15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#6'!AA15,"OK","Alert,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#6'!V16,"OK","Send in Change Order")</f>
        <v>OK</v>
      </c>
      <c r="S16" s="85">
        <v>5</v>
      </c>
      <c r="T16" s="86" t="str">
        <f>'Request #6'!T16</f>
        <v>Other Contracts</v>
      </c>
      <c r="U16" s="218">
        <f>'Request #6'!U16</f>
        <v>0</v>
      </c>
      <c r="V16" s="87">
        <f>'Request #6'!V16</f>
        <v>0</v>
      </c>
      <c r="W16" s="88">
        <f>SUMIF(F7:F79,5,E7:E79)</f>
        <v>0</v>
      </c>
      <c r="X16" s="88">
        <f>'Request #6'!Y16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#6'!AA16,"OK","Alert,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#6'!V17,"OK","Send in Change Order")</f>
        <v>OK</v>
      </c>
      <c r="S17" s="85">
        <v>6</v>
      </c>
      <c r="T17" s="86" t="str">
        <f>'Request #6'!T17</f>
        <v>Other Contracts</v>
      </c>
      <c r="U17" s="218">
        <f>'Request #6'!U17</f>
        <v>0</v>
      </c>
      <c r="V17" s="87">
        <f>'Request #6'!V17</f>
        <v>0</v>
      </c>
      <c r="W17" s="88">
        <f>SUMIF(F7:F79,6,E7:E79)</f>
        <v>0</v>
      </c>
      <c r="X17" s="88">
        <f>'Request #6'!Y17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#6'!AA17,"OK","Alert,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#6'!V18,"OK","Send in Change Order")</f>
        <v>OK</v>
      </c>
      <c r="S18" s="85">
        <v>7</v>
      </c>
      <c r="T18" s="86" t="str">
        <f>'Request #6'!T18</f>
        <v>Other Contracts</v>
      </c>
      <c r="U18" s="218">
        <f>'Request #6'!U18</f>
        <v>0</v>
      </c>
      <c r="V18" s="87">
        <f>'Request #6'!V18</f>
        <v>0</v>
      </c>
      <c r="W18" s="88">
        <f>SUMIF(F7:F79,7,E7:E79)</f>
        <v>0</v>
      </c>
      <c r="X18" s="88">
        <f>'Request #6'!Y18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#6'!AA18,"OK","Alert,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#6'!V19,"OK","Send in Change Order")</f>
        <v>OK</v>
      </c>
      <c r="S19" s="85">
        <v>8</v>
      </c>
      <c r="T19" s="86" t="str">
        <f>'Request #6'!T19</f>
        <v>Other Contracts</v>
      </c>
      <c r="U19" s="218">
        <f>'Request #6'!U19</f>
        <v>0</v>
      </c>
      <c r="V19" s="87">
        <f>'Request #6'!V19</f>
        <v>0</v>
      </c>
      <c r="W19" s="88">
        <f>SUMIF(F7:F79,8,E7:E79)</f>
        <v>0</v>
      </c>
      <c r="X19" s="88">
        <f>'Request #6'!Y19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#6'!AA19,"OK","Alert,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#6'!V20,"OK","Send in Change Order")</f>
        <v>OK</v>
      </c>
      <c r="S20" s="85">
        <v>9</v>
      </c>
      <c r="T20" s="86" t="str">
        <f>'Request #6'!T20</f>
        <v>Other Contracts</v>
      </c>
      <c r="U20" s="218">
        <f>'Request #6'!U20</f>
        <v>0</v>
      </c>
      <c r="V20" s="87">
        <f>'Request #6'!V20</f>
        <v>0</v>
      </c>
      <c r="W20" s="88">
        <f>SUMIF(F7:F79,9,E7:E79)</f>
        <v>0</v>
      </c>
      <c r="X20" s="88">
        <f>'Request #6'!Y20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#6'!AA20,"OK","Alert,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#6'!V21,"OK","Send in Change Order")</f>
        <v>OK</v>
      </c>
      <c r="S21" s="85">
        <v>10</v>
      </c>
      <c r="T21" s="86" t="str">
        <f>'Request #6'!T21</f>
        <v>Other Contracts</v>
      </c>
      <c r="U21" s="218">
        <f>'Request #6'!U21</f>
        <v>0</v>
      </c>
      <c r="V21" s="87">
        <f>'Request #6'!V21</f>
        <v>0</v>
      </c>
      <c r="W21" s="88">
        <f>SUMIF(F7:F79,10,E7:E79)</f>
        <v>0</v>
      </c>
      <c r="X21" s="88">
        <f>'Request #6'!Y21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#6'!AA21,"OK","Alert,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#6'!V22,"OK","Send in Change Order")</f>
        <v>OK</v>
      </c>
      <c r="S22" s="85">
        <v>11</v>
      </c>
      <c r="T22" s="86" t="str">
        <f>'Request #6'!T22</f>
        <v>Other Contracts</v>
      </c>
      <c r="U22" s="218">
        <f>'Request #6'!U22</f>
        <v>0</v>
      </c>
      <c r="V22" s="87">
        <f>'Request #6'!V22</f>
        <v>0</v>
      </c>
      <c r="W22" s="88">
        <f>SUMIF(F7:F79,11,E7:E79)</f>
        <v>0</v>
      </c>
      <c r="X22" s="88">
        <f>'Request #6'!Y22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#6'!AA22,"OK","Alert,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#6'!V23,"OK","Send in Change Order")</f>
        <v>OK</v>
      </c>
      <c r="S23" s="85">
        <v>12</v>
      </c>
      <c r="T23" s="86" t="str">
        <f>'Request #6'!T23</f>
        <v>Other Contracts</v>
      </c>
      <c r="U23" s="218">
        <f>'Request #6'!U23</f>
        <v>0</v>
      </c>
      <c r="V23" s="87">
        <f>'Request #6'!V23</f>
        <v>0</v>
      </c>
      <c r="W23" s="88">
        <f>SUMIF(F7:F79,12,E7:E79)</f>
        <v>0</v>
      </c>
      <c r="X23" s="88">
        <f>'Request #6'!Y23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#6'!AA23,"OK","Alert,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#6'!V24,"OK","Send in Change Order")</f>
        <v>OK</v>
      </c>
      <c r="S24" s="85">
        <v>13</v>
      </c>
      <c r="T24" s="86" t="str">
        <f>'Request #6'!T24</f>
        <v>Other Contracts</v>
      </c>
      <c r="U24" s="218">
        <f>'Request #6'!U24</f>
        <v>0</v>
      </c>
      <c r="V24" s="87">
        <f>'Request #6'!V24</f>
        <v>0</v>
      </c>
      <c r="W24" s="88">
        <f>SUMIF(F7:F79,13,E7:E79)</f>
        <v>0</v>
      </c>
      <c r="X24" s="88">
        <f>'Request #6'!Y24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#6'!AA24,"OK","Alert,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#6'!V25,"OK","Send in Change Order")</f>
        <v>OK</v>
      </c>
      <c r="S25" s="85">
        <v>14</v>
      </c>
      <c r="T25" s="86" t="str">
        <f>'Request #6'!T25</f>
        <v>Other Contracts</v>
      </c>
      <c r="U25" s="218">
        <f>'Request #6'!U25</f>
        <v>0</v>
      </c>
      <c r="V25" s="87">
        <f>'Request #6'!V25</f>
        <v>0</v>
      </c>
      <c r="W25" s="88">
        <f>SUMIF(F7:F79,14,E7:E79)</f>
        <v>0</v>
      </c>
      <c r="X25" s="88">
        <f>'Request #6'!Y25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#6'!AA25,"OK","Alert,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#6'!V26,"OK","Send in Change Order")</f>
        <v>OK</v>
      </c>
      <c r="S26" s="85">
        <v>15</v>
      </c>
      <c r="T26" s="86" t="str">
        <f>'Request #6'!T26</f>
        <v>Other Contracts</v>
      </c>
      <c r="U26" s="218">
        <f>'Request #6'!U26</f>
        <v>0</v>
      </c>
      <c r="V26" s="87">
        <f>'Request #6'!V26</f>
        <v>0</v>
      </c>
      <c r="W26" s="88">
        <f>SUMIF(F7:F79,15,E7:E79)</f>
        <v>0</v>
      </c>
      <c r="X26" s="88">
        <f>'Request #6'!Y26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#6'!AA26,"OK","Alert,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#6'!V27,"OK","Send in Change Order")</f>
        <v>OK</v>
      </c>
      <c r="S27" s="85">
        <v>16</v>
      </c>
      <c r="T27" s="86" t="str">
        <f>'Request #6'!T27</f>
        <v>Other Contracts</v>
      </c>
      <c r="U27" s="218">
        <f>'Request #6'!U27</f>
        <v>0</v>
      </c>
      <c r="V27" s="87">
        <f>'Request #6'!V27</f>
        <v>0</v>
      </c>
      <c r="W27" s="88">
        <f>SUMIF(F7:F79,16,E7:E79)</f>
        <v>0</v>
      </c>
      <c r="X27" s="88">
        <f>'Request #6'!Y27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#6'!AA27,"OK","Alert,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#6'!V28,"OK","Send in Change Order")</f>
        <v>OK</v>
      </c>
      <c r="S28" s="85">
        <v>17</v>
      </c>
      <c r="T28" s="86" t="str">
        <f>'Request #6'!T28</f>
        <v>Other Contracts</v>
      </c>
      <c r="U28" s="218">
        <f>'Request #6'!U28</f>
        <v>0</v>
      </c>
      <c r="V28" s="87">
        <f>'Request #6'!V28</f>
        <v>0</v>
      </c>
      <c r="W28" s="88">
        <f>SUMIF(F7:F79,17,E7:E79)</f>
        <v>0</v>
      </c>
      <c r="X28" s="88">
        <f>'Request #6'!Y28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#6'!AA28,"OK","Alert,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#6'!V29,"OK","Send in Change Order")</f>
        <v>OK</v>
      </c>
      <c r="S29" s="85">
        <v>18</v>
      </c>
      <c r="T29" s="86" t="str">
        <f>'Request #6'!T29</f>
        <v>Other Contracts</v>
      </c>
      <c r="U29" s="218">
        <f>'Request #6'!U29</f>
        <v>0</v>
      </c>
      <c r="V29" s="87">
        <f>'Request #6'!V29</f>
        <v>0</v>
      </c>
      <c r="W29" s="88">
        <f>SUMIF(F7:F79,18,E7:E79)</f>
        <v>0</v>
      </c>
      <c r="X29" s="88">
        <f>'Request #6'!Y29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#6'!AA29,"OK","Alert,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#6'!V30,"OK","Send in Change Order")</f>
        <v>OK</v>
      </c>
      <c r="S30" s="85">
        <v>19</v>
      </c>
      <c r="T30" s="86" t="str">
        <f>'Request #6'!T30</f>
        <v>Other Contracts</v>
      </c>
      <c r="U30" s="218">
        <f>'Request #6'!U30</f>
        <v>0</v>
      </c>
      <c r="V30" s="87">
        <f>'Request #6'!V30</f>
        <v>0</v>
      </c>
      <c r="W30" s="88">
        <f>SUMIF(F7:F79,19,E7:E79)</f>
        <v>0</v>
      </c>
      <c r="X30" s="88">
        <f>'Request #6'!Y30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#6'!AA30,"OK","Alert,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#6'!V31,"OK","Send in Change Order")</f>
        <v>OK</v>
      </c>
      <c r="S31" s="85">
        <v>20</v>
      </c>
      <c r="T31" s="86" t="str">
        <f>'Request #6'!T31</f>
        <v>Other Contracts</v>
      </c>
      <c r="U31" s="218">
        <f>'Request #6'!U31</f>
        <v>0</v>
      </c>
      <c r="V31" s="87">
        <f>'Request #6'!V31</f>
        <v>0</v>
      </c>
      <c r="W31" s="88">
        <f>SUMIF(F7:F79,20,E7:E79)</f>
        <v>0</v>
      </c>
      <c r="X31" s="88">
        <f>'Request #6'!Y31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#6'!AA31,"OK","Alert,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#6'!V32,"OK","Send in Change Order")</f>
        <v>OK</v>
      </c>
      <c r="S32" s="85">
        <v>21</v>
      </c>
      <c r="T32" s="86" t="str">
        <f>'Request #6'!T32</f>
        <v>Other Contracts</v>
      </c>
      <c r="U32" s="218">
        <f>'Request #6'!U32</f>
        <v>0</v>
      </c>
      <c r="V32" s="87">
        <f>'Request #6'!V32</f>
        <v>0</v>
      </c>
      <c r="W32" s="88">
        <f>SUMIF(F7:F79,21,E7:E79)</f>
        <v>0</v>
      </c>
      <c r="X32" s="88">
        <f>'Request #6'!Y32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#6'!AA32,"OK","Alert,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#6'!V33,"OK","Send in Change Order")</f>
        <v>OK</v>
      </c>
      <c r="S33" s="85">
        <v>22</v>
      </c>
      <c r="T33" s="86" t="str">
        <f>'Request #6'!T33</f>
        <v>Other Contracts</v>
      </c>
      <c r="U33" s="218">
        <f>'Request #6'!U33</f>
        <v>0</v>
      </c>
      <c r="V33" s="87">
        <f>'Request #6'!V33</f>
        <v>0</v>
      </c>
      <c r="W33" s="88">
        <f>SUMIF(F7:F79,22,E7:E79)</f>
        <v>0</v>
      </c>
      <c r="X33" s="88">
        <f>'Request #6'!Y33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#6'!AA33,"OK","Alert,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#6'!V34,"OK","Send in Change Order")</f>
        <v>OK</v>
      </c>
      <c r="S34" s="85">
        <v>23</v>
      </c>
      <c r="T34" s="86" t="str">
        <f>'Request #6'!T34</f>
        <v>Other Contracts</v>
      </c>
      <c r="U34" s="218">
        <f>'Request #6'!U34</f>
        <v>0</v>
      </c>
      <c r="V34" s="87">
        <f>'Request #6'!V34</f>
        <v>0</v>
      </c>
      <c r="W34" s="88">
        <f>SUMIF(F7:F79,23,E7:E79)</f>
        <v>0</v>
      </c>
      <c r="X34" s="88">
        <f>'Request #6'!Y34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#6'!AA34,"OK","Alert,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#6'!V35,"OK","Send in Change Order")</f>
        <v>OK</v>
      </c>
      <c r="S35" s="85">
        <v>24</v>
      </c>
      <c r="T35" s="86" t="str">
        <f>'Request #6'!T35</f>
        <v>Other Contracts</v>
      </c>
      <c r="U35" s="218">
        <f>'Request #6'!U35</f>
        <v>0</v>
      </c>
      <c r="V35" s="87">
        <f>'Request #6'!V35</f>
        <v>0</v>
      </c>
      <c r="W35" s="88">
        <f>SUMIF(F7:F79,24,E7:E79)</f>
        <v>0</v>
      </c>
      <c r="X35" s="88">
        <f>'Request #6'!Y35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#6'!AA35,"OK","Alert,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#6'!V36,"OK","Send in Change Order")</f>
        <v>OK</v>
      </c>
      <c r="S36" s="85">
        <v>25</v>
      </c>
      <c r="T36" s="86" t="str">
        <f>'Request #6'!T36</f>
        <v>Other Contracts</v>
      </c>
      <c r="U36" s="218">
        <f>'Request #6'!U36</f>
        <v>0</v>
      </c>
      <c r="V36" s="87">
        <f>'Request #6'!V36</f>
        <v>0</v>
      </c>
      <c r="W36" s="88">
        <f>SUMIF(F7:F79,25,E7:E79)</f>
        <v>0</v>
      </c>
      <c r="X36" s="88">
        <f>'Request #6'!Y36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#6'!AA36,"OK","Alert,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#6'!V37,"OK","Send in Change Order")</f>
        <v>OK</v>
      </c>
      <c r="S37" s="85">
        <v>26</v>
      </c>
      <c r="T37" s="86" t="str">
        <f>'Request #6'!T37</f>
        <v>Other Fees</v>
      </c>
      <c r="U37" s="218">
        <f>'Request #6'!U37</f>
        <v>0</v>
      </c>
      <c r="V37" s="87">
        <f>'Request #6'!V37</f>
        <v>0</v>
      </c>
      <c r="W37" s="88">
        <f>SUMIF(F7:F79,26,E7:E79)</f>
        <v>0</v>
      </c>
      <c r="X37" s="88">
        <f>'Request #6'!Y37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#6'!AA37,"OK","Alert,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#6'!V38,"OK","Send in Change Order")</f>
        <v>OK</v>
      </c>
      <c r="S38" s="85">
        <v>27</v>
      </c>
      <c r="T38" s="86" t="str">
        <f>'Request #6'!T38</f>
        <v>Other Fees</v>
      </c>
      <c r="U38" s="218">
        <f>'Request #6'!U38</f>
        <v>0</v>
      </c>
      <c r="V38" s="87">
        <f>'Request #6'!V38</f>
        <v>0</v>
      </c>
      <c r="W38" s="88">
        <f>SUMIF(F7:F79,27,E7:E79)</f>
        <v>0</v>
      </c>
      <c r="X38" s="88">
        <f>'Request #6'!Y38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#6'!AA38,"OK","Alert,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#6'!V39,"OK","Send in Change Order")</f>
        <v>OK</v>
      </c>
      <c r="S39" s="85">
        <v>28</v>
      </c>
      <c r="T39" s="86" t="str">
        <f>'Request #6'!T39</f>
        <v>Other Fees</v>
      </c>
      <c r="U39" s="218">
        <f>'Request #6'!U39</f>
        <v>0</v>
      </c>
      <c r="V39" s="87">
        <f>'Request #6'!V39</f>
        <v>0</v>
      </c>
      <c r="W39" s="88">
        <f>SUMIF(F7:F79,28,E7:E79)</f>
        <v>0</v>
      </c>
      <c r="X39" s="88">
        <f>'Request #6'!Y39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#6'!AA39,"OK","Alert,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#6'!V40,"OK","Send in Change Order")</f>
        <v>OK</v>
      </c>
      <c r="S40" s="85">
        <v>29</v>
      </c>
      <c r="T40" s="86" t="str">
        <f>'Request #6'!T40</f>
        <v>Other Fees</v>
      </c>
      <c r="U40" s="218">
        <f>'Request #6'!U40</f>
        <v>0</v>
      </c>
      <c r="V40" s="87">
        <f>'Request #6'!V40</f>
        <v>0</v>
      </c>
      <c r="W40" s="88">
        <f>SUMIF(F7:F79,29,E7:E79)</f>
        <v>0</v>
      </c>
      <c r="X40" s="88">
        <f>'Request #6'!Y40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#6'!AA40,"OK","Alert,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#6'!V41,"OK","Send in Change Order")</f>
        <v>OK</v>
      </c>
      <c r="S41" s="85">
        <v>30</v>
      </c>
      <c r="T41" s="86" t="str">
        <f>'Request #6'!T41</f>
        <v>Other Fees</v>
      </c>
      <c r="U41" s="218">
        <f>'Request #6'!U41</f>
        <v>0</v>
      </c>
      <c r="V41" s="87">
        <f>'Request #6'!V41</f>
        <v>0</v>
      </c>
      <c r="W41" s="88">
        <f>SUMIF(F7:F79,30,E7:E79)</f>
        <v>0</v>
      </c>
      <c r="X41" s="88">
        <f>'Request #6'!Y41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#6'!AA41,"OK","Alert,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#6'!V42,"OK","Send in Change Order")</f>
        <v>OK</v>
      </c>
      <c r="S42" s="85">
        <v>31</v>
      </c>
      <c r="T42" s="86" t="str">
        <f>'Request #6'!T42</f>
        <v>Other Fees</v>
      </c>
      <c r="U42" s="218">
        <f>'Request #6'!U42</f>
        <v>0</v>
      </c>
      <c r="V42" s="87">
        <f>'Request #6'!V42</f>
        <v>0</v>
      </c>
      <c r="W42" s="88">
        <f>SUMIF(F7:F79,31,E7:E79)</f>
        <v>0</v>
      </c>
      <c r="X42" s="88">
        <f>'Request #6'!Y42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#6'!AA42,"OK","Alert,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#6'!V43,"OK","Send in Change Order")</f>
        <v>OK</v>
      </c>
      <c r="S43" s="85">
        <v>32</v>
      </c>
      <c r="T43" s="86" t="str">
        <f>'Request #6'!T43</f>
        <v>Other Fees</v>
      </c>
      <c r="U43" s="218">
        <f>'Request #6'!U43</f>
        <v>0</v>
      </c>
      <c r="V43" s="87">
        <f>'Request #6'!V43</f>
        <v>0</v>
      </c>
      <c r="W43" s="88">
        <f>SUMIF(F7:F79,32,E7:E79)</f>
        <v>0</v>
      </c>
      <c r="X43" s="88">
        <f>'Request #6'!Y43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#6'!AA43,"OK","Alert,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#6'!V44,"OK","Send in Change Order")</f>
        <v>OK</v>
      </c>
      <c r="S44" s="85">
        <v>33</v>
      </c>
      <c r="T44" s="86" t="str">
        <f>'Request #6'!T44</f>
        <v>Other Fees</v>
      </c>
      <c r="U44" s="218">
        <f>'Request #6'!U44</f>
        <v>0</v>
      </c>
      <c r="V44" s="87">
        <f>'Request #6'!V44</f>
        <v>0</v>
      </c>
      <c r="W44" s="88">
        <f>SUMIF(F7:F79,33,E7:E79)</f>
        <v>0</v>
      </c>
      <c r="X44" s="88">
        <f>'Request #6'!Y44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#6'!AA44,"OK","Alert,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#6'!V49,"OK","Send in Change Order")</f>
        <v>OK</v>
      </c>
      <c r="S49" s="85">
        <v>38</v>
      </c>
      <c r="T49" s="86" t="str">
        <f>'Request #6'!T49</f>
        <v>Other Fees</v>
      </c>
      <c r="U49" s="218">
        <f>'Request #6'!U49</f>
        <v>0</v>
      </c>
      <c r="V49" s="87">
        <f>'Request #6'!V49</f>
        <v>0</v>
      </c>
      <c r="W49" s="88">
        <f>SUMIF(F7:F79,38,E7:E79)</f>
        <v>0</v>
      </c>
      <c r="X49" s="88">
        <f>'Request #6'!Y49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#6'!AA49,"OK","Alert,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#6'!V50,"OK","Send in Change Order")</f>
        <v>OK</v>
      </c>
      <c r="S50" s="85">
        <v>39</v>
      </c>
      <c r="T50" s="86" t="str">
        <f>'Request #6'!T50</f>
        <v>Other Fees</v>
      </c>
      <c r="U50" s="218">
        <f>'Request #6'!U50</f>
        <v>0</v>
      </c>
      <c r="V50" s="87">
        <f>'Request #6'!V50</f>
        <v>0</v>
      </c>
      <c r="W50" s="88">
        <f>SUMIF(F7:F79,39,E7:E79)</f>
        <v>0</v>
      </c>
      <c r="X50" s="88">
        <f>'Request #6'!Y50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#6'!AA50,"OK","Alert,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#6'!V51,"OK","Send in Change Order")</f>
        <v>OK</v>
      </c>
      <c r="S51" s="85">
        <v>40</v>
      </c>
      <c r="T51" s="86" t="str">
        <f>'Request #6'!T51</f>
        <v>Other Fees</v>
      </c>
      <c r="U51" s="218">
        <f>'Request #6'!U51</f>
        <v>0</v>
      </c>
      <c r="V51" s="87">
        <f>'Request #6'!V51</f>
        <v>0</v>
      </c>
      <c r="W51" s="88">
        <f>SUMIF(F7:F79,40,E7:E79)</f>
        <v>0</v>
      </c>
      <c r="X51" s="88">
        <f>'Request #6'!Y51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#6'!AA51,"OK","Alert,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#6'!V52,"OK","Send in Change Order")</f>
        <v>OK</v>
      </c>
      <c r="S52" s="85">
        <v>41</v>
      </c>
      <c r="T52" s="86" t="str">
        <f>'Request #6'!T52</f>
        <v>Other Fees</v>
      </c>
      <c r="U52" s="218">
        <f>'Request #6'!U52</f>
        <v>0</v>
      </c>
      <c r="V52" s="87">
        <f>'Request #6'!V52</f>
        <v>0</v>
      </c>
      <c r="W52" s="88">
        <f>SUMIF(F7:F79,41,E7:E79)</f>
        <v>0</v>
      </c>
      <c r="X52" s="88">
        <f>'Request #6'!Y52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#6'!AA52,"OK","Alert,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#6'!V53,"OK","Send in Change Order")</f>
        <v>OK</v>
      </c>
      <c r="S53" s="85">
        <v>42</v>
      </c>
      <c r="T53" s="86" t="str">
        <f>'Request #6'!T53</f>
        <v>Other Fees</v>
      </c>
      <c r="U53" s="218">
        <f>'Request #6'!U53</f>
        <v>0</v>
      </c>
      <c r="V53" s="87">
        <f>'Request #6'!V53</f>
        <v>0</v>
      </c>
      <c r="W53" s="88">
        <f>SUMIF(F7:F79,42,E7:E79)</f>
        <v>0</v>
      </c>
      <c r="X53" s="88">
        <f>'Request #6'!Y53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#6'!AA53,"OK","Alert,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#6'!V54,"OK","Send in Change Order")</f>
        <v>OK</v>
      </c>
      <c r="S54" s="85">
        <v>43</v>
      </c>
      <c r="T54" s="86" t="str">
        <f>'Request #6'!T54</f>
        <v>Other Fees</v>
      </c>
      <c r="U54" s="218">
        <f>'Request #6'!U54</f>
        <v>0</v>
      </c>
      <c r="V54" s="87">
        <f>'Request #6'!V54</f>
        <v>0</v>
      </c>
      <c r="W54" s="88">
        <f>SUMIF(F7:F79,43,E7:E79)</f>
        <v>0</v>
      </c>
      <c r="X54" s="88">
        <f>'Request #6'!Y54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#6'!AA54,"OK","Alert,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#6'!V55,"OK","Send in Change Order")</f>
        <v>OK</v>
      </c>
      <c r="S55" s="85">
        <v>44</v>
      </c>
      <c r="T55" s="86" t="str">
        <f>'Request #6'!T55</f>
        <v>Other Fees</v>
      </c>
      <c r="U55" s="218">
        <f>'Request #6'!U55</f>
        <v>0</v>
      </c>
      <c r="V55" s="87">
        <f>'Request #6'!V55</f>
        <v>0</v>
      </c>
      <c r="W55" s="88">
        <f>SUMIF(F7:F79,44,E7:E79)</f>
        <v>0</v>
      </c>
      <c r="X55" s="88">
        <f>'Request #6'!Y55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#6'!AA55,"OK","Alert,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#6'!V56,"OK","Send in Change Order")</f>
        <v>OK</v>
      </c>
      <c r="S56" s="85">
        <v>45</v>
      </c>
      <c r="T56" s="86" t="str">
        <f>'Request #6'!T56</f>
        <v>Other Fees</v>
      </c>
      <c r="U56" s="218">
        <f>'Request #6'!U56</f>
        <v>0</v>
      </c>
      <c r="V56" s="87">
        <f>'Request #6'!V56</f>
        <v>0</v>
      </c>
      <c r="W56" s="88">
        <f>SUMIF(F7:F79,45,E7:E79)</f>
        <v>0</v>
      </c>
      <c r="X56" s="88">
        <f>'Request #6'!Y56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#6'!AA56,"OK","Alert,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#6'!V57,"OK","Send in Change Order")</f>
        <v>OK</v>
      </c>
      <c r="S57" s="85">
        <v>46</v>
      </c>
      <c r="T57" s="86" t="str">
        <f>'Request #6'!T57</f>
        <v>Other Fees</v>
      </c>
      <c r="U57" s="218">
        <f>'Request #6'!U57</f>
        <v>0</v>
      </c>
      <c r="V57" s="87">
        <f>'Request #6'!V57</f>
        <v>0</v>
      </c>
      <c r="W57" s="88">
        <f>SUMIF(F7:F79,46,E7:E79)</f>
        <v>0</v>
      </c>
      <c r="X57" s="88">
        <f>'Request #6'!Y57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#6'!AA57,"OK","Alert,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#6'!V58,"OK","Send in Change Order")</f>
        <v>OK</v>
      </c>
      <c r="S58" s="85">
        <v>47</v>
      </c>
      <c r="T58" s="86" t="str">
        <f>'Request #6'!T58</f>
        <v>Other Fees</v>
      </c>
      <c r="U58" s="218">
        <f>'Request #6'!U58</f>
        <v>0</v>
      </c>
      <c r="V58" s="87">
        <f>'Request #6'!V58</f>
        <v>0</v>
      </c>
      <c r="W58" s="88">
        <f>SUMIF(F7:F79,47,E7:E79)</f>
        <v>0</v>
      </c>
      <c r="X58" s="88">
        <f>'Request #6'!Y58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#6'!AA58,"OK","Alert,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#6'!V59,"OK","Send in Change Order")</f>
        <v>OK</v>
      </c>
      <c r="S59" s="85">
        <v>48</v>
      </c>
      <c r="T59" s="86" t="str">
        <f>'Request #6'!T59</f>
        <v>Other Fees</v>
      </c>
      <c r="U59" s="218">
        <f>'Request #6'!U59</f>
        <v>0</v>
      </c>
      <c r="V59" s="87">
        <f>'Request #6'!V59</f>
        <v>0</v>
      </c>
      <c r="W59" s="88">
        <f>SUMIF(F7:F79,48,E7:E79)</f>
        <v>0</v>
      </c>
      <c r="X59" s="88">
        <f>'Request #6'!Y59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#6'!AA59,"OK","Alert,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#6'!V60,"OK","Send in Change Order")</f>
        <v>OK</v>
      </c>
      <c r="S60" s="85">
        <v>49</v>
      </c>
      <c r="T60" s="86" t="str">
        <f>'Request #6'!T60</f>
        <v>Other Fees</v>
      </c>
      <c r="U60" s="218">
        <f>'Request #6'!U60</f>
        <v>0</v>
      </c>
      <c r="V60" s="87">
        <f>'Request #6'!V60</f>
        <v>0</v>
      </c>
      <c r="W60" s="88">
        <f>SUMIF(F7:F79,49,E7:E79)</f>
        <v>0</v>
      </c>
      <c r="X60" s="88">
        <f>'Request #6'!Y60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#6'!AA60,"OK","Alert,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#6'!V61,"OK","Send in Change Order")</f>
        <v>OK</v>
      </c>
      <c r="S61" s="85">
        <v>50</v>
      </c>
      <c r="T61" s="86" t="str">
        <f>'Request #6'!T61</f>
        <v>Other Fees</v>
      </c>
      <c r="U61" s="218">
        <f>'Request #6'!U61</f>
        <v>0</v>
      </c>
      <c r="V61" s="87">
        <f>'Request #6'!V61</f>
        <v>0</v>
      </c>
      <c r="W61" s="88">
        <f>SUMIF(F7:F79,50,E7:E79)</f>
        <v>0</v>
      </c>
      <c r="X61" s="88">
        <f>'Request #6'!Y61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#6'!AA61,"OK","Alert,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#6'!V62,"OK","Send in Change Order")</f>
        <v>OK</v>
      </c>
      <c r="S62" s="85">
        <v>51</v>
      </c>
      <c r="T62" s="86" t="str">
        <f>'Request #6'!T62</f>
        <v>Other Fees</v>
      </c>
      <c r="U62" s="218">
        <f>'Request #6'!U62</f>
        <v>0</v>
      </c>
      <c r="V62" s="87">
        <f>'Request #6'!V62</f>
        <v>0</v>
      </c>
      <c r="W62" s="88">
        <f>SUMIF(F7:F79,51,E7:E79)</f>
        <v>0</v>
      </c>
      <c r="X62" s="88">
        <f>'Request #6'!Y62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#6'!AA62,"OK","Alert,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#6'!V63,"OK","Send in Change Order")</f>
        <v>OK</v>
      </c>
      <c r="S63" s="85">
        <v>52</v>
      </c>
      <c r="T63" s="86" t="str">
        <f>'Request #6'!T63</f>
        <v>Worked Performed by Owner</v>
      </c>
      <c r="U63" s="218">
        <f>'Request #6'!U63</f>
        <v>0</v>
      </c>
      <c r="V63" s="87">
        <f>'Request #6'!V63</f>
        <v>0</v>
      </c>
      <c r="W63" s="88">
        <f>SUMIF(F7:F79,52,E7:E79)</f>
        <v>0</v>
      </c>
      <c r="X63" s="88">
        <f>'Request #6'!Y63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#6'!AA63,"OK","Alert,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#6'!V64,"OK","Send in Change Order")</f>
        <v>OK</v>
      </c>
      <c r="S64" s="85">
        <v>53</v>
      </c>
      <c r="T64" s="86" t="str">
        <f>'Request #6'!T64</f>
        <v>Equipment (Major)</v>
      </c>
      <c r="U64" s="218">
        <f>'Request #6'!U64</f>
        <v>0</v>
      </c>
      <c r="V64" s="87">
        <f>'Request #6'!V64</f>
        <v>0</v>
      </c>
      <c r="W64" s="88">
        <f>SUMIF(F7:F79,53,E7:E79)</f>
        <v>0</v>
      </c>
      <c r="X64" s="88">
        <f>'Request #6'!Y64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#6'!AA64,"OK","Alert,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#6'!V65,"OK","Send in Change Order")</f>
        <v>OK</v>
      </c>
      <c r="S65" s="85">
        <v>54</v>
      </c>
      <c r="T65" s="102" t="s">
        <v>90</v>
      </c>
      <c r="U65" s="218">
        <f>'Request #6'!U65</f>
        <v>0</v>
      </c>
      <c r="V65" s="87">
        <f>'Request #6'!V65</f>
        <v>0</v>
      </c>
      <c r="W65" s="104"/>
      <c r="X65" s="88">
        <f>'Request #6'!Y65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#6'!AA65,"OK","Alert,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#6'!V66,"OK","Send in Change Order")</f>
        <v>OK</v>
      </c>
      <c r="S66" s="85">
        <v>55</v>
      </c>
      <c r="T66" s="86"/>
      <c r="U66" s="218">
        <f>'Request #6'!U66</f>
        <v>0</v>
      </c>
      <c r="V66" s="87">
        <f>'Request #6'!V66</f>
        <v>0</v>
      </c>
      <c r="W66" s="88">
        <f>SUMIF(F7:F79,55,E7:E79)</f>
        <v>0</v>
      </c>
      <c r="X66" s="88">
        <f>'Request #6'!Y66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#6'!AA66,"OK","Alert,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#6'!V67,"OK","Send in Change Order")</f>
        <v>OK</v>
      </c>
      <c r="S67" s="85">
        <v>56</v>
      </c>
      <c r="T67" s="79"/>
      <c r="U67" s="218">
        <f>'Request #6'!U67</f>
        <v>0</v>
      </c>
      <c r="V67" s="87">
        <f>'Request #6'!V67</f>
        <v>0</v>
      </c>
      <c r="W67" s="88">
        <f>SUMIF(F7:F79,56,E7:E79)</f>
        <v>0</v>
      </c>
      <c r="X67" s="88">
        <f>'Request #6'!Y67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#6'!AA67,"OK","Alert,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#5'!V68,"OK","Send in Change Order")</f>
        <v>OK</v>
      </c>
      <c r="S68" s="316" t="s">
        <v>60</v>
      </c>
      <c r="T68" s="317"/>
      <c r="U68" s="166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#6'!AA68,"OK","Alert,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09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167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10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11" t="e">
        <f>V72/V68</f>
        <v>#DIV/0!</v>
      </c>
      <c r="V72" s="88">
        <f>V68-V74-V73</f>
        <v>0</v>
      </c>
      <c r="W72" s="87">
        <v>0</v>
      </c>
      <c r="X72" s="88">
        <f>'Request #6'!Y72</f>
        <v>0</v>
      </c>
      <c r="Y72" s="88">
        <f t="shared" ref="Y72:Y73" si="8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#5'!V73,"OK","Send in Change Order")</f>
        <v>OK</v>
      </c>
      <c r="S73" s="86" t="s">
        <v>95</v>
      </c>
      <c r="T73" s="114"/>
      <c r="U73" s="211" t="e">
        <f>V73/V68</f>
        <v>#DIV/0!</v>
      </c>
      <c r="V73" s="87">
        <f>'Request #6'!V73</f>
        <v>0</v>
      </c>
      <c r="W73" s="87">
        <v>0</v>
      </c>
      <c r="X73" s="88">
        <f>'Request #6'!Y73</f>
        <v>0</v>
      </c>
      <c r="Y73" s="88">
        <f t="shared" si="8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#5'!V74,"OK","Send in Change Order")</f>
        <v>OK</v>
      </c>
      <c r="S74" s="120" t="s">
        <v>96</v>
      </c>
      <c r="T74" s="121"/>
      <c r="U74" s="211" t="e">
        <f>V74/V68</f>
        <v>#DIV/0!</v>
      </c>
      <c r="V74" s="87">
        <f>'Request #6'!V74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77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12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13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13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14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77"/>
      <c r="V80" s="55"/>
      <c r="W80" s="55"/>
      <c r="X80" s="138"/>
      <c r="Y80" s="45" t="s">
        <v>108</v>
      </c>
      <c r="Z80" s="43"/>
      <c r="AA80" s="88">
        <f>X72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7</v>
      </c>
      <c r="V87" s="55"/>
      <c r="W87" s="55"/>
      <c r="X87" s="138"/>
      <c r="Y87" s="45" t="s">
        <v>108</v>
      </c>
      <c r="Z87" s="43"/>
      <c r="AA87" s="88">
        <f>'Request #6'!AA86</f>
        <v>0</v>
      </c>
      <c r="AB87" s="110"/>
    </row>
    <row r="88" spans="1:28" ht="30" customHeight="1" thickBot="1" x14ac:dyDescent="0.35">
      <c r="S88" s="55"/>
      <c r="T88" s="55"/>
      <c r="U88" s="77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77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77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77"/>
      <c r="V91" s="55"/>
      <c r="W91" s="55"/>
      <c r="X91" s="55"/>
    </row>
    <row r="92" spans="1:28" ht="30" customHeight="1" x14ac:dyDescent="0.3">
      <c r="S92" s="55"/>
      <c r="T92" s="55"/>
      <c r="U92" s="77"/>
      <c r="V92" s="55"/>
      <c r="W92" s="55"/>
      <c r="X92" s="55"/>
    </row>
    <row r="93" spans="1:28" ht="30" customHeight="1" x14ac:dyDescent="0.3">
      <c r="S93" s="55"/>
      <c r="T93" s="55"/>
      <c r="U93" s="77"/>
      <c r="V93" s="55"/>
      <c r="W93" s="55"/>
      <c r="X93" s="55"/>
    </row>
    <row r="94" spans="1:28" ht="30" customHeight="1" x14ac:dyDescent="0.3">
      <c r="S94" s="55"/>
      <c r="T94" s="55"/>
      <c r="U94" s="77"/>
      <c r="V94" s="55"/>
      <c r="W94" s="55"/>
      <c r="X94" s="55"/>
    </row>
    <row r="95" spans="1:28" ht="30" customHeight="1" x14ac:dyDescent="0.3">
      <c r="S95" s="55"/>
      <c r="T95" s="55"/>
      <c r="U95" s="77"/>
      <c r="V95" s="55"/>
      <c r="W95" s="55"/>
      <c r="X95" s="55"/>
    </row>
    <row r="96" spans="1:28" ht="30" customHeight="1" x14ac:dyDescent="0.3">
      <c r="S96" s="55"/>
      <c r="T96" s="55"/>
      <c r="U96" s="77"/>
      <c r="V96" s="55"/>
      <c r="W96" s="55"/>
      <c r="X96" s="55"/>
    </row>
    <row r="97" spans="15:24" ht="30" customHeight="1" x14ac:dyDescent="0.3">
      <c r="S97" s="55"/>
      <c r="T97" s="55"/>
      <c r="U97" s="77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NfDy6cpHmjPzzgud2M3VT/iPGpodXkEVtYtjx86JruqXBBdIOGSh8i58WJdiNdQTQ+5JJaxm7cKKae361YUr6w==" saltValue="ai6Np4N+0OrKXgvpAGr5/w==" spinCount="100000" sheet="1" objects="1" scenarios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378" priority="10" operator="containsText" text="Change">
      <formula>NOT(ISERROR(SEARCH("Change",R1)))</formula>
    </cfRule>
  </conditionalFormatting>
  <conditionalFormatting sqref="R45:R48">
    <cfRule type="cellIs" dxfId="377" priority="7" operator="equal">
      <formula>"Send in Change Order"</formula>
    </cfRule>
  </conditionalFormatting>
  <conditionalFormatting sqref="W68">
    <cfRule type="cellIs" dxfId="376" priority="2" operator="notEqual">
      <formula>$E$82</formula>
    </cfRule>
    <cfRule type="cellIs" dxfId="375" priority="3" operator="greaterThan">
      <formula>$E$82</formula>
    </cfRule>
    <cfRule type="cellIs" dxfId="374" priority="4" operator="notEqual">
      <formula>$E$82</formula>
    </cfRule>
  </conditionalFormatting>
  <conditionalFormatting sqref="Z12:Z44">
    <cfRule type="cellIs" dxfId="373" priority="8" operator="lessThan">
      <formula>0</formula>
    </cfRule>
  </conditionalFormatting>
  <conditionalFormatting sqref="Z49:Z68">
    <cfRule type="cellIs" dxfId="372" priority="5" operator="lessThan">
      <formula>0</formula>
    </cfRule>
  </conditionalFormatting>
  <conditionalFormatting sqref="AA68">
    <cfRule type="cellIs" dxfId="371" priority="1" operator="notEqual">
      <formula>$O$82</formula>
    </cfRule>
  </conditionalFormatting>
  <conditionalFormatting sqref="AB1:AB1048576">
    <cfRule type="containsText" dxfId="370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2" manualBreakCount="12">
    <brk id="6" max="88" man="1"/>
    <brk id="10" max="1048575" man="1"/>
    <brk id="16" max="1048575" man="1"/>
    <brk id="18" max="88" man="1"/>
    <brk id="27" max="88" man="1"/>
    <brk id="29" max="88" man="1"/>
    <brk id="51" max="1048575" man="1"/>
    <brk id="52" max="1048575" man="1"/>
    <brk id="99" max="92" man="1"/>
    <brk id="101" max="1048575" man="1"/>
    <brk id="110" max="1048575" man="1"/>
    <brk id="1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135"/>
  <sheetViews>
    <sheetView view="pageBreakPreview" topLeftCell="I1" zoomScale="60" zoomScaleNormal="100" workbookViewId="0">
      <selection activeCell="T12" sqref="T12"/>
    </sheetView>
  </sheetViews>
  <sheetFormatPr defaultColWidth="8.88671875" defaultRowHeight="30" customHeight="1" x14ac:dyDescent="0.3"/>
  <cols>
    <col min="1" max="3" width="17.77734375" style="39" customWidth="1"/>
    <col min="4" max="4" width="45.77734375" style="39" customWidth="1"/>
    <col min="5" max="5" width="25.77734375" style="39" customWidth="1"/>
    <col min="6" max="6" width="14.21875" style="39" customWidth="1"/>
    <col min="7" max="7" width="9.77734375" style="92" customWidth="1"/>
    <col min="8" max="8" width="39.77734375" style="194" customWidth="1"/>
    <col min="9" max="9" width="27" style="244" customWidth="1"/>
    <col min="10" max="10" width="8.88671875" style="40"/>
    <col min="11" max="11" width="17.77734375" style="39" customWidth="1"/>
    <col min="12" max="12" width="19.21875" style="39" customWidth="1"/>
    <col min="13" max="13" width="17.77734375" style="39" customWidth="1"/>
    <col min="14" max="14" width="45.77734375" style="39" customWidth="1"/>
    <col min="15" max="15" width="25.77734375" style="39" customWidth="1"/>
    <col min="16" max="16" width="14.21875" style="39" customWidth="1"/>
    <col min="17" max="17" width="8.88671875" style="40"/>
    <col min="18" max="18" width="28.21875" style="50" customWidth="1"/>
    <col min="19" max="19" width="6.21875" style="39" customWidth="1"/>
    <col min="20" max="20" width="31.33203125" style="39" customWidth="1"/>
    <col min="21" max="21" width="17.77734375" style="206" customWidth="1"/>
    <col min="22" max="27" width="18.88671875" style="39" customWidth="1"/>
    <col min="28" max="28" width="25.77734375" style="54" customWidth="1"/>
    <col min="29" max="29" width="8.88671875" style="40"/>
    <col min="30" max="30" width="16" style="39" customWidth="1"/>
    <col min="31" max="31" width="110.109375" style="39" bestFit="1" customWidth="1"/>
    <col min="32" max="32" width="21.88671875" style="39" customWidth="1"/>
    <col min="33" max="33" width="20.44140625" style="39" customWidth="1"/>
    <col min="34" max="16384" width="8.88671875" style="39"/>
  </cols>
  <sheetData>
    <row r="1" spans="1:33" ht="30" customHeight="1" x14ac:dyDescent="0.3">
      <c r="A1" s="37" t="s">
        <v>18</v>
      </c>
      <c r="B1" s="141"/>
      <c r="C1" s="142"/>
      <c r="E1" s="38"/>
      <c r="K1" s="37" t="s">
        <v>19</v>
      </c>
      <c r="L1" s="141"/>
      <c r="M1" s="142"/>
      <c r="O1" s="38"/>
      <c r="S1" s="51" t="s">
        <v>7</v>
      </c>
      <c r="T1" s="51"/>
      <c r="U1" s="51"/>
      <c r="V1" s="51"/>
      <c r="W1" s="51"/>
      <c r="X1" s="51"/>
      <c r="Y1" s="51"/>
      <c r="Z1" s="51"/>
      <c r="AA1" s="51"/>
      <c r="AB1" s="52"/>
      <c r="AD1" s="37" t="s">
        <v>20</v>
      </c>
    </row>
    <row r="2" spans="1:33" ht="30" customHeight="1" x14ac:dyDescent="0.3">
      <c r="A2" s="143" t="s">
        <v>21</v>
      </c>
      <c r="B2" s="141"/>
      <c r="C2" s="142"/>
      <c r="E2" s="144">
        <f>'Project Info'!C7</f>
        <v>0</v>
      </c>
      <c r="F2" s="41"/>
      <c r="G2" s="194"/>
      <c r="K2" s="143" t="s">
        <v>22</v>
      </c>
      <c r="L2" s="141"/>
      <c r="M2" s="142"/>
      <c r="O2" s="144">
        <f>'Project Info'!C7</f>
        <v>0</v>
      </c>
      <c r="P2" s="41"/>
      <c r="S2" s="53" t="s">
        <v>23</v>
      </c>
      <c r="AD2" s="37"/>
    </row>
    <row r="3" spans="1:33" ht="30" customHeight="1" x14ac:dyDescent="0.3">
      <c r="A3" s="142"/>
      <c r="B3" s="141"/>
      <c r="C3" s="142"/>
      <c r="E3" s="144">
        <f>'Project Info'!F13</f>
        <v>0</v>
      </c>
      <c r="F3" s="41"/>
      <c r="G3" s="194"/>
      <c r="K3" s="142"/>
      <c r="L3" s="141"/>
      <c r="M3" s="142"/>
      <c r="O3" s="144">
        <f>'Project Info'!F13</f>
        <v>0</v>
      </c>
      <c r="P3" s="41"/>
      <c r="S3" s="55"/>
      <c r="U3" s="62" t="s">
        <v>9</v>
      </c>
      <c r="V3" s="56">
        <f>'Project Info'!C7</f>
        <v>0</v>
      </c>
      <c r="W3" s="57"/>
      <c r="X3" s="57"/>
      <c r="Y3" s="55"/>
      <c r="Z3" s="145" t="s">
        <v>24</v>
      </c>
      <c r="AA3" s="56">
        <v>8</v>
      </c>
      <c r="AB3" s="58"/>
      <c r="AD3" s="37"/>
    </row>
    <row r="4" spans="1:33" ht="30" customHeight="1" x14ac:dyDescent="0.3">
      <c r="A4" s="142"/>
      <c r="B4" s="141"/>
      <c r="C4" s="142"/>
      <c r="E4" s="146"/>
      <c r="K4" s="142"/>
      <c r="L4" s="141"/>
      <c r="M4" s="142"/>
      <c r="O4" s="146"/>
      <c r="S4" s="55"/>
      <c r="U4" s="62"/>
      <c r="V4" s="59"/>
      <c r="W4" s="55"/>
      <c r="X4" s="55"/>
      <c r="Y4" s="55"/>
      <c r="Z4" s="62" t="s">
        <v>11</v>
      </c>
      <c r="AA4" s="65">
        <f>'Project Info'!F13</f>
        <v>0</v>
      </c>
      <c r="AB4" s="60"/>
    </row>
    <row r="5" spans="1:33" s="37" customFormat="1" ht="30" customHeight="1" x14ac:dyDescent="0.35">
      <c r="A5" s="147"/>
      <c r="B5" s="148"/>
      <c r="C5" s="304" t="s">
        <v>25</v>
      </c>
      <c r="D5" s="148"/>
      <c r="E5" s="149" t="s">
        <v>26</v>
      </c>
      <c r="F5" s="306" t="s">
        <v>27</v>
      </c>
      <c r="G5" s="191"/>
      <c r="H5" s="193"/>
      <c r="I5" s="245"/>
      <c r="J5" s="42"/>
      <c r="K5" s="147"/>
      <c r="L5" s="148"/>
      <c r="M5" s="304" t="s">
        <v>28</v>
      </c>
      <c r="N5" s="148"/>
      <c r="O5" s="149" t="s">
        <v>26</v>
      </c>
      <c r="P5" s="306" t="s">
        <v>27</v>
      </c>
      <c r="Q5" s="42"/>
      <c r="R5" s="61"/>
      <c r="S5" s="55"/>
      <c r="U5" s="62" t="s">
        <v>10</v>
      </c>
      <c r="V5" s="56">
        <f>'Project Info'!C13</f>
        <v>0</v>
      </c>
      <c r="W5" s="57"/>
      <c r="X5" s="57"/>
      <c r="Y5" s="55"/>
      <c r="Z5" s="62" t="s">
        <v>29</v>
      </c>
      <c r="AA5" s="63"/>
      <c r="AB5" s="64"/>
      <c r="AC5" s="42"/>
      <c r="AD5" s="53" t="s">
        <v>9</v>
      </c>
      <c r="AE5" s="267">
        <f>'Project Info'!C7</f>
        <v>0</v>
      </c>
      <c r="AF5" s="53" t="s">
        <v>8</v>
      </c>
      <c r="AG5" s="281">
        <f>'Project Info'!F7</f>
        <v>0</v>
      </c>
    </row>
    <row r="6" spans="1:33" s="37" customFormat="1" ht="30" customHeight="1" x14ac:dyDescent="0.35">
      <c r="A6" s="150" t="s">
        <v>30</v>
      </c>
      <c r="B6" s="151" t="s">
        <v>31</v>
      </c>
      <c r="C6" s="305"/>
      <c r="D6" s="151" t="s">
        <v>32</v>
      </c>
      <c r="E6" s="151" t="s">
        <v>33</v>
      </c>
      <c r="F6" s="307" t="s">
        <v>34</v>
      </c>
      <c r="G6" s="202" t="s">
        <v>35</v>
      </c>
      <c r="H6" s="203"/>
      <c r="I6" s="246"/>
      <c r="J6" s="42"/>
      <c r="K6" s="150" t="s">
        <v>30</v>
      </c>
      <c r="L6" s="151" t="s">
        <v>25</v>
      </c>
      <c r="M6" s="305"/>
      <c r="N6" s="151" t="s">
        <v>32</v>
      </c>
      <c r="O6" s="151" t="s">
        <v>33</v>
      </c>
      <c r="P6" s="307" t="s">
        <v>34</v>
      </c>
      <c r="Q6" s="42"/>
      <c r="R6" s="61"/>
      <c r="S6" s="55"/>
      <c r="T6" s="55"/>
      <c r="U6" s="77"/>
      <c r="V6" s="55"/>
      <c r="W6" s="55"/>
      <c r="X6" s="55"/>
      <c r="Y6" s="55"/>
      <c r="Z6" s="53"/>
      <c r="AA6" s="55"/>
      <c r="AB6" s="60"/>
      <c r="AC6" s="42"/>
      <c r="AD6" s="53"/>
      <c r="AE6" s="53"/>
      <c r="AF6" s="55"/>
      <c r="AG6" s="285"/>
    </row>
    <row r="7" spans="1:33" ht="30" customHeight="1" x14ac:dyDescent="0.35">
      <c r="A7" s="152"/>
      <c r="B7" s="153"/>
      <c r="C7" s="153"/>
      <c r="D7" s="154"/>
      <c r="E7" s="155"/>
      <c r="F7" s="156"/>
      <c r="G7" s="204">
        <f>S12</f>
        <v>1</v>
      </c>
      <c r="H7" s="205" t="str">
        <f>T12</f>
        <v>Land/Site Grading &amp; Improv.</v>
      </c>
      <c r="I7" s="247">
        <f>U12</f>
        <v>0</v>
      </c>
      <c r="K7" s="152"/>
      <c r="L7" s="153"/>
      <c r="M7" s="153"/>
      <c r="N7" s="154"/>
      <c r="O7" s="155"/>
      <c r="P7" s="156"/>
      <c r="S7" s="308" t="s">
        <v>36</v>
      </c>
      <c r="T7" s="309"/>
      <c r="U7" s="309"/>
      <c r="V7" s="309"/>
      <c r="W7" s="309"/>
      <c r="X7" s="309"/>
      <c r="Y7" s="309"/>
      <c r="Z7" s="309"/>
      <c r="AA7" s="310"/>
      <c r="AB7" s="71"/>
      <c r="AD7" s="53" t="s">
        <v>10</v>
      </c>
      <c r="AE7" s="267">
        <f>'Project Info'!C13</f>
        <v>0</v>
      </c>
      <c r="AF7" s="53" t="s">
        <v>11</v>
      </c>
      <c r="AG7" s="281">
        <f>'Project Info'!F13</f>
        <v>0</v>
      </c>
    </row>
    <row r="8" spans="1:33" ht="30" customHeight="1" x14ac:dyDescent="0.35">
      <c r="A8" s="152"/>
      <c r="B8" s="157"/>
      <c r="C8" s="157"/>
      <c r="D8" s="154"/>
      <c r="E8" s="155"/>
      <c r="F8" s="158"/>
      <c r="G8" s="204">
        <f t="shared" ref="G8:I24" si="0">S13</f>
        <v>2</v>
      </c>
      <c r="H8" s="205" t="str">
        <f t="shared" ref="H8:I23" si="1">T13</f>
        <v xml:space="preserve">General Contract </v>
      </c>
      <c r="I8" s="247">
        <f t="shared" si="1"/>
        <v>0</v>
      </c>
      <c r="K8" s="152"/>
      <c r="L8" s="157"/>
      <c r="M8" s="157"/>
      <c r="N8" s="154"/>
      <c r="O8" s="155"/>
      <c r="P8" s="158"/>
      <c r="S8" s="66"/>
      <c r="T8" s="67"/>
      <c r="U8" s="207"/>
      <c r="V8" s="69" t="s">
        <v>37</v>
      </c>
      <c r="W8" s="70" t="s">
        <v>38</v>
      </c>
      <c r="X8" s="70" t="s">
        <v>39</v>
      </c>
      <c r="Y8" s="70" t="s">
        <v>40</v>
      </c>
      <c r="Z8" s="70" t="s">
        <v>41</v>
      </c>
      <c r="AA8" s="70" t="s">
        <v>42</v>
      </c>
      <c r="AB8" s="71"/>
      <c r="AD8" s="37"/>
      <c r="AE8" s="37"/>
      <c r="AF8" s="37"/>
      <c r="AG8" s="282"/>
    </row>
    <row r="9" spans="1:33" ht="30" customHeight="1" x14ac:dyDescent="0.35">
      <c r="A9" s="152"/>
      <c r="B9" s="157"/>
      <c r="C9" s="157"/>
      <c r="D9" s="154"/>
      <c r="E9" s="155"/>
      <c r="F9" s="158"/>
      <c r="G9" s="204">
        <f t="shared" si="0"/>
        <v>3</v>
      </c>
      <c r="H9" s="205" t="str">
        <f t="shared" si="0"/>
        <v>Designer Contract</v>
      </c>
      <c r="I9" s="247">
        <f t="shared" si="1"/>
        <v>0</v>
      </c>
      <c r="K9" s="152"/>
      <c r="L9" s="157"/>
      <c r="M9" s="157"/>
      <c r="N9" s="154"/>
      <c r="O9" s="155"/>
      <c r="P9" s="158"/>
      <c r="S9" s="72" t="s">
        <v>43</v>
      </c>
      <c r="T9" s="73"/>
      <c r="U9" s="208"/>
      <c r="V9" s="75" t="s">
        <v>44</v>
      </c>
      <c r="W9" s="76" t="s">
        <v>45</v>
      </c>
      <c r="X9" s="76" t="s">
        <v>46</v>
      </c>
      <c r="Y9" s="76" t="s">
        <v>45</v>
      </c>
      <c r="Z9" s="76" t="s">
        <v>47</v>
      </c>
      <c r="AA9" s="76" t="s">
        <v>48</v>
      </c>
      <c r="AB9" s="71"/>
      <c r="AE9" s="268" t="s">
        <v>49</v>
      </c>
      <c r="AF9" s="77" t="s">
        <v>24</v>
      </c>
      <c r="AG9" s="283">
        <f>AA3</f>
        <v>8</v>
      </c>
    </row>
    <row r="10" spans="1:33" ht="30" customHeight="1" x14ac:dyDescent="0.3">
      <c r="A10" s="159"/>
      <c r="B10" s="157"/>
      <c r="C10" s="157"/>
      <c r="D10" s="154"/>
      <c r="E10" s="155"/>
      <c r="F10" s="158"/>
      <c r="G10" s="204">
        <f t="shared" si="0"/>
        <v>4</v>
      </c>
      <c r="H10" s="205" t="str">
        <f t="shared" si="0"/>
        <v>Designer Reimbursables</v>
      </c>
      <c r="I10" s="247">
        <f t="shared" si="1"/>
        <v>0</v>
      </c>
      <c r="K10" s="159"/>
      <c r="L10" s="157"/>
      <c r="M10" s="157"/>
      <c r="N10" s="154"/>
      <c r="O10" s="155"/>
      <c r="P10" s="158"/>
      <c r="S10" s="72" t="s">
        <v>34</v>
      </c>
      <c r="T10" s="322" t="s">
        <v>50</v>
      </c>
      <c r="U10" s="323"/>
      <c r="V10" s="75" t="s">
        <v>51</v>
      </c>
      <c r="W10" s="76" t="s">
        <v>52</v>
      </c>
      <c r="X10" s="76" t="s">
        <v>53</v>
      </c>
      <c r="Y10" s="76" t="s">
        <v>54</v>
      </c>
      <c r="Z10" s="76" t="s">
        <v>55</v>
      </c>
      <c r="AA10" s="76" t="s">
        <v>56</v>
      </c>
      <c r="AB10" s="71"/>
      <c r="AE10" s="269" t="s">
        <v>57</v>
      </c>
      <c r="AF10" s="55"/>
      <c r="AG10" s="55"/>
    </row>
    <row r="11" spans="1:33" ht="30" customHeight="1" x14ac:dyDescent="0.3">
      <c r="A11" s="159"/>
      <c r="B11" s="157"/>
      <c r="C11" s="157"/>
      <c r="D11" s="154"/>
      <c r="E11" s="155"/>
      <c r="F11" s="158"/>
      <c r="G11" s="204">
        <f t="shared" si="0"/>
        <v>5</v>
      </c>
      <c r="H11" s="205" t="str">
        <f t="shared" si="0"/>
        <v>Other Contracts</v>
      </c>
      <c r="I11" s="247">
        <f t="shared" si="1"/>
        <v>0</v>
      </c>
      <c r="K11" s="159"/>
      <c r="L11" s="157"/>
      <c r="M11" s="157"/>
      <c r="N11" s="154"/>
      <c r="O11" s="155"/>
      <c r="P11" s="158"/>
      <c r="R11" s="61" t="s">
        <v>119</v>
      </c>
      <c r="S11" s="114"/>
      <c r="T11" s="79"/>
      <c r="U11" s="90"/>
      <c r="V11" s="81" t="s">
        <v>58</v>
      </c>
      <c r="W11" s="82" t="s">
        <v>59</v>
      </c>
      <c r="X11" s="82" t="s">
        <v>45</v>
      </c>
      <c r="Y11" s="82" t="s">
        <v>30</v>
      </c>
      <c r="Z11" s="82" t="s">
        <v>60</v>
      </c>
      <c r="AA11" s="83" t="s">
        <v>61</v>
      </c>
      <c r="AB11" s="84" t="s">
        <v>120</v>
      </c>
      <c r="AE11" s="269" t="s">
        <v>62</v>
      </c>
      <c r="AF11" s="77" t="s">
        <v>63</v>
      </c>
    </row>
    <row r="12" spans="1:33" ht="30" customHeight="1" x14ac:dyDescent="0.3">
      <c r="A12" s="152"/>
      <c r="B12" s="157"/>
      <c r="C12" s="157"/>
      <c r="D12" s="154"/>
      <c r="E12" s="155"/>
      <c r="F12" s="158"/>
      <c r="G12" s="204">
        <f t="shared" si="0"/>
        <v>6</v>
      </c>
      <c r="H12" s="205" t="str">
        <f t="shared" si="0"/>
        <v>Other Contracts</v>
      </c>
      <c r="I12" s="247">
        <f t="shared" si="1"/>
        <v>0</v>
      </c>
      <c r="K12" s="152"/>
      <c r="L12" s="157"/>
      <c r="M12" s="157"/>
      <c r="N12" s="154"/>
      <c r="O12" s="155"/>
      <c r="P12" s="158"/>
      <c r="R12" s="50" t="str">
        <f>IF(V12='Request #7'!V12,"OK","Send in Change Order")</f>
        <v>OK</v>
      </c>
      <c r="S12" s="85">
        <v>1</v>
      </c>
      <c r="T12" s="86" t="str">
        <f>'Request #7'!T12</f>
        <v>Land/Site Grading &amp; Improv.</v>
      </c>
      <c r="U12" s="218">
        <f>'Request #7'!U12</f>
        <v>0</v>
      </c>
      <c r="V12" s="87">
        <f>'Request #7'!V12</f>
        <v>0</v>
      </c>
      <c r="W12" s="88">
        <f>SUMIF(F7:F79,1,E7:E79)</f>
        <v>0</v>
      </c>
      <c r="X12" s="88">
        <f>'Request #7'!Y12</f>
        <v>0</v>
      </c>
      <c r="Y12" s="88">
        <f>W12+X12</f>
        <v>0</v>
      </c>
      <c r="Z12" s="88">
        <f>V12-Y12</f>
        <v>0</v>
      </c>
      <c r="AA12" s="88">
        <f>SUMIF(P7:P79,1,O7:O79)</f>
        <v>0</v>
      </c>
      <c r="AB12" s="50" t="str">
        <f>IF(W12&gt;='Request #7'!AA12,"OK","Alert, Explain")</f>
        <v>OK</v>
      </c>
      <c r="AE12" s="270" t="s">
        <v>65</v>
      </c>
      <c r="AF12" s="55"/>
      <c r="AG12" s="55"/>
    </row>
    <row r="13" spans="1:33" ht="30" customHeight="1" x14ac:dyDescent="0.3">
      <c r="A13" s="152"/>
      <c r="B13" s="157"/>
      <c r="C13" s="157"/>
      <c r="D13" s="154"/>
      <c r="E13" s="155"/>
      <c r="F13" s="158"/>
      <c r="G13" s="204">
        <f t="shared" si="0"/>
        <v>7</v>
      </c>
      <c r="H13" s="205" t="str">
        <f t="shared" si="0"/>
        <v>Other Contracts</v>
      </c>
      <c r="I13" s="247">
        <f t="shared" si="1"/>
        <v>0</v>
      </c>
      <c r="K13" s="152"/>
      <c r="L13" s="157"/>
      <c r="M13" s="157"/>
      <c r="N13" s="154"/>
      <c r="O13" s="155"/>
      <c r="P13" s="158"/>
      <c r="R13" s="50" t="str">
        <f>IF(V13='Request #7'!V13,"OK","Send in Change Order")</f>
        <v>OK</v>
      </c>
      <c r="S13" s="85">
        <v>2</v>
      </c>
      <c r="T13" s="86" t="str">
        <f>'Request #7'!T13</f>
        <v xml:space="preserve">General Contract </v>
      </c>
      <c r="U13" s="218">
        <f>'Request #7'!U13</f>
        <v>0</v>
      </c>
      <c r="V13" s="87">
        <f>'Request #7'!V13</f>
        <v>0</v>
      </c>
      <c r="W13" s="88">
        <f>SUMIF(F7:F79,2,E7:E79)</f>
        <v>0</v>
      </c>
      <c r="X13" s="88">
        <f>'Request #7'!Y13</f>
        <v>0</v>
      </c>
      <c r="Y13" s="88">
        <f t="shared" ref="Y13:Y67" si="2">W13+X13</f>
        <v>0</v>
      </c>
      <c r="Z13" s="88">
        <f t="shared" ref="Z13:Z67" si="3">V13-Y13</f>
        <v>0</v>
      </c>
      <c r="AA13" s="88">
        <f>SUMIF(P7:P79,2,O7:O79)</f>
        <v>0</v>
      </c>
      <c r="AB13" s="50" t="str">
        <f>IF(W13&gt;='Request #7'!AA13,"OK","Alert, Explain")</f>
        <v>OK</v>
      </c>
    </row>
    <row r="14" spans="1:33" ht="30" customHeight="1" x14ac:dyDescent="0.35">
      <c r="A14" s="159"/>
      <c r="B14" s="157"/>
      <c r="C14" s="157"/>
      <c r="D14" s="154"/>
      <c r="E14" s="155"/>
      <c r="F14" s="158"/>
      <c r="G14" s="204">
        <f t="shared" si="0"/>
        <v>8</v>
      </c>
      <c r="H14" s="205" t="str">
        <f t="shared" si="0"/>
        <v>Other Contracts</v>
      </c>
      <c r="I14" s="247">
        <f t="shared" si="1"/>
        <v>0</v>
      </c>
      <c r="K14" s="159"/>
      <c r="L14" s="157"/>
      <c r="M14" s="157"/>
      <c r="N14" s="154"/>
      <c r="O14" s="155"/>
      <c r="P14" s="158"/>
      <c r="R14" s="50" t="str">
        <f>IF(V14='Request #7'!V14,"OK","Send in Change Order")</f>
        <v>OK</v>
      </c>
      <c r="S14" s="85">
        <v>3</v>
      </c>
      <c r="T14" s="86" t="str">
        <f>'Request #7'!T14</f>
        <v>Designer Contract</v>
      </c>
      <c r="U14" s="218">
        <f>'Request #7'!U14</f>
        <v>0</v>
      </c>
      <c r="V14" s="87">
        <f>'Request #7'!V14</f>
        <v>0</v>
      </c>
      <c r="W14" s="88">
        <f>SUMIF(F7:F79,3,E7:E79)</f>
        <v>0</v>
      </c>
      <c r="X14" s="88">
        <f>'Request #7'!Y14</f>
        <v>0</v>
      </c>
      <c r="Y14" s="88">
        <f t="shared" si="2"/>
        <v>0</v>
      </c>
      <c r="Z14" s="88">
        <f t="shared" si="3"/>
        <v>0</v>
      </c>
      <c r="AA14" s="88">
        <f>SUMIF(P7:P79,3,O7:O79)</f>
        <v>0</v>
      </c>
      <c r="AB14" s="50" t="str">
        <f>IF(W14&gt;='Request #7'!AA14,"OK","Alert, Explain")</f>
        <v>OK</v>
      </c>
      <c r="AD14" s="91" t="s">
        <v>68</v>
      </c>
      <c r="AF14" s="284">
        <f>AA88</f>
        <v>0</v>
      </c>
    </row>
    <row r="15" spans="1:33" ht="30" customHeight="1" x14ac:dyDescent="0.35">
      <c r="A15" s="159"/>
      <c r="B15" s="157"/>
      <c r="C15" s="157"/>
      <c r="D15" s="154"/>
      <c r="E15" s="155"/>
      <c r="F15" s="158"/>
      <c r="G15" s="204">
        <f t="shared" si="0"/>
        <v>9</v>
      </c>
      <c r="H15" s="205" t="str">
        <f t="shared" si="0"/>
        <v>Other Contracts</v>
      </c>
      <c r="I15" s="247">
        <f t="shared" si="1"/>
        <v>0</v>
      </c>
      <c r="K15" s="159"/>
      <c r="L15" s="157"/>
      <c r="M15" s="157"/>
      <c r="N15" s="154"/>
      <c r="O15" s="155"/>
      <c r="P15" s="158"/>
      <c r="R15" s="50" t="str">
        <f>IF(V15='Request #7'!V15,"OK","Send in Change Order")</f>
        <v>OK</v>
      </c>
      <c r="S15" s="85">
        <v>4</v>
      </c>
      <c r="T15" s="86" t="str">
        <f>'Request #7'!T15</f>
        <v>Designer Reimbursables</v>
      </c>
      <c r="U15" s="218">
        <f>'Request #7'!U15</f>
        <v>0</v>
      </c>
      <c r="V15" s="87">
        <f>'Request #7'!V15</f>
        <v>0</v>
      </c>
      <c r="W15" s="88">
        <f>SUMIF(F7:F79,4,E7:E79)</f>
        <v>0</v>
      </c>
      <c r="X15" s="88">
        <f>'Request #7'!Y15</f>
        <v>0</v>
      </c>
      <c r="Y15" s="88">
        <f t="shared" si="2"/>
        <v>0</v>
      </c>
      <c r="Z15" s="88">
        <f t="shared" si="3"/>
        <v>0</v>
      </c>
      <c r="AA15" s="88">
        <f>SUMIF(P7:P79,4,O7:O79)</f>
        <v>0</v>
      </c>
      <c r="AB15" s="50" t="str">
        <f>IF(W15&gt;='Request #7'!AA15,"OK","Alert, Explain")</f>
        <v>OK</v>
      </c>
      <c r="AE15" s="55" t="s">
        <v>70</v>
      </c>
      <c r="AF15" s="285"/>
    </row>
    <row r="16" spans="1:33" ht="30" customHeight="1" x14ac:dyDescent="0.35">
      <c r="A16" s="152"/>
      <c r="B16" s="157"/>
      <c r="C16" s="157"/>
      <c r="D16" s="154"/>
      <c r="E16" s="155"/>
      <c r="F16" s="158"/>
      <c r="G16" s="204">
        <f t="shared" si="0"/>
        <v>10</v>
      </c>
      <c r="H16" s="205" t="str">
        <f t="shared" si="0"/>
        <v>Other Contracts</v>
      </c>
      <c r="I16" s="247">
        <f t="shared" si="1"/>
        <v>0</v>
      </c>
      <c r="K16" s="152"/>
      <c r="L16" s="157"/>
      <c r="M16" s="157"/>
      <c r="N16" s="154"/>
      <c r="O16" s="155"/>
      <c r="P16" s="158"/>
      <c r="R16" s="50" t="str">
        <f>IF(V16='Request #7'!V16,"OK","Send in Change Order")</f>
        <v>OK</v>
      </c>
      <c r="S16" s="85">
        <v>5</v>
      </c>
      <c r="T16" s="86" t="str">
        <f>'Request #7'!T16</f>
        <v>Other Contracts</v>
      </c>
      <c r="U16" s="218">
        <f>'Request #7'!U16</f>
        <v>0</v>
      </c>
      <c r="V16" s="87">
        <f>'Request #7'!V16</f>
        <v>0</v>
      </c>
      <c r="W16" s="88">
        <f>SUMIF(F7:F79,5,E7:E79)</f>
        <v>0</v>
      </c>
      <c r="X16" s="88">
        <f>'Request #7'!Y16</f>
        <v>0</v>
      </c>
      <c r="Y16" s="88">
        <f t="shared" si="2"/>
        <v>0</v>
      </c>
      <c r="Z16" s="88">
        <f t="shared" si="3"/>
        <v>0</v>
      </c>
      <c r="AA16" s="88">
        <f>SUMIF(P7:P79,5,O7:O79)</f>
        <v>0</v>
      </c>
      <c r="AB16" s="50" t="str">
        <f>IF(W16&gt;='Request #7'!AA16,"OK","Alert, Explain")</f>
        <v>OK</v>
      </c>
      <c r="AD16" s="37" t="s">
        <v>72</v>
      </c>
      <c r="AF16" s="286">
        <f>AA81</f>
        <v>0</v>
      </c>
    </row>
    <row r="17" spans="1:33" ht="30" customHeight="1" x14ac:dyDescent="0.3">
      <c r="A17" s="152"/>
      <c r="B17" s="157"/>
      <c r="C17" s="157"/>
      <c r="D17" s="154"/>
      <c r="E17" s="155"/>
      <c r="F17" s="158"/>
      <c r="G17" s="204">
        <f t="shared" si="0"/>
        <v>11</v>
      </c>
      <c r="H17" s="205" t="str">
        <f t="shared" si="0"/>
        <v>Other Contracts</v>
      </c>
      <c r="I17" s="247">
        <f t="shared" si="1"/>
        <v>0</v>
      </c>
      <c r="K17" s="152"/>
      <c r="L17" s="157"/>
      <c r="M17" s="157"/>
      <c r="N17" s="154"/>
      <c r="O17" s="155"/>
      <c r="P17" s="158"/>
      <c r="R17" s="50" t="str">
        <f>IF(V17='Request #7'!V17,"OK","Send in Change Order")</f>
        <v>OK</v>
      </c>
      <c r="S17" s="85">
        <v>6</v>
      </c>
      <c r="T17" s="86" t="str">
        <f>'Request #7'!T17</f>
        <v>Other Contracts</v>
      </c>
      <c r="U17" s="218">
        <f>'Request #7'!U17</f>
        <v>0</v>
      </c>
      <c r="V17" s="87">
        <f>'Request #7'!V17</f>
        <v>0</v>
      </c>
      <c r="W17" s="88">
        <f>SUMIF(F7:F79,6,E7:E79)</f>
        <v>0</v>
      </c>
      <c r="X17" s="88">
        <f>'Request #7'!Y17</f>
        <v>0</v>
      </c>
      <c r="Y17" s="88">
        <f t="shared" si="2"/>
        <v>0</v>
      </c>
      <c r="Z17" s="88">
        <f t="shared" si="3"/>
        <v>0</v>
      </c>
      <c r="AA17" s="88">
        <f>SUMIF(P7:P79,6,O7:O79)</f>
        <v>0</v>
      </c>
      <c r="AB17" s="50" t="str">
        <f>IF(W17&gt;='Request #7'!AA17,"OK","Alert, Explain")</f>
        <v>OK</v>
      </c>
    </row>
    <row r="18" spans="1:33" ht="30" customHeight="1" x14ac:dyDescent="0.3">
      <c r="A18" s="152"/>
      <c r="B18" s="157"/>
      <c r="C18" s="157"/>
      <c r="D18" s="154"/>
      <c r="E18" s="155"/>
      <c r="F18" s="158"/>
      <c r="G18" s="204">
        <f t="shared" si="0"/>
        <v>12</v>
      </c>
      <c r="H18" s="205" t="str">
        <f t="shared" si="0"/>
        <v>Other Contracts</v>
      </c>
      <c r="I18" s="247">
        <f t="shared" si="1"/>
        <v>0</v>
      </c>
      <c r="K18" s="152"/>
      <c r="L18" s="157"/>
      <c r="M18" s="157"/>
      <c r="N18" s="154"/>
      <c r="O18" s="155"/>
      <c r="P18" s="158"/>
      <c r="R18" s="50" t="str">
        <f>IF(V18='Request #7'!V18,"OK","Send in Change Order")</f>
        <v>OK</v>
      </c>
      <c r="S18" s="85">
        <v>7</v>
      </c>
      <c r="T18" s="86" t="str">
        <f>'Request #7'!T18</f>
        <v>Other Contracts</v>
      </c>
      <c r="U18" s="218">
        <f>'Request #7'!U18</f>
        <v>0</v>
      </c>
      <c r="V18" s="87">
        <f>'Request #7'!V18</f>
        <v>0</v>
      </c>
      <c r="W18" s="88">
        <f>SUMIF(F7:F79,7,E7:E79)</f>
        <v>0</v>
      </c>
      <c r="X18" s="88">
        <f>'Request #7'!Y18</f>
        <v>0</v>
      </c>
      <c r="Y18" s="88">
        <f t="shared" si="2"/>
        <v>0</v>
      </c>
      <c r="Z18" s="88">
        <f t="shared" si="3"/>
        <v>0</v>
      </c>
      <c r="AA18" s="88">
        <f>SUMIF(P7:P79,7,O7:O79)</f>
        <v>0</v>
      </c>
      <c r="AB18" s="50" t="str">
        <f>IF(W18&gt;='Request #7'!AA18,"OK","Alert, Explain")</f>
        <v>OK</v>
      </c>
      <c r="AE18" s="271"/>
      <c r="AF18" s="73"/>
      <c r="AG18" s="271"/>
    </row>
    <row r="19" spans="1:33" ht="30" customHeight="1" x14ac:dyDescent="0.3">
      <c r="A19" s="159"/>
      <c r="B19" s="157"/>
      <c r="C19" s="157"/>
      <c r="D19" s="154"/>
      <c r="E19" s="155"/>
      <c r="F19" s="158"/>
      <c r="G19" s="204">
        <f t="shared" si="0"/>
        <v>13</v>
      </c>
      <c r="H19" s="205" t="str">
        <f t="shared" si="0"/>
        <v>Other Contracts</v>
      </c>
      <c r="I19" s="247">
        <f t="shared" si="1"/>
        <v>0</v>
      </c>
      <c r="K19" s="159"/>
      <c r="L19" s="157"/>
      <c r="M19" s="157"/>
      <c r="N19" s="154"/>
      <c r="O19" s="155"/>
      <c r="P19" s="158"/>
      <c r="R19" s="50" t="str">
        <f>IF(V19='Request #7'!V19,"OK","Send in Change Order")</f>
        <v>OK</v>
      </c>
      <c r="S19" s="85">
        <v>8</v>
      </c>
      <c r="T19" s="86" t="str">
        <f>'Request #7'!T19</f>
        <v>Other Contracts</v>
      </c>
      <c r="U19" s="218">
        <f>'Request #7'!U19</f>
        <v>0</v>
      </c>
      <c r="V19" s="87">
        <f>'Request #7'!V19</f>
        <v>0</v>
      </c>
      <c r="W19" s="88">
        <f>SUMIF(F7:F79,8,E7:E79)</f>
        <v>0</v>
      </c>
      <c r="X19" s="88">
        <f>'Request #7'!Y19</f>
        <v>0</v>
      </c>
      <c r="Y19" s="88">
        <f t="shared" si="2"/>
        <v>0</v>
      </c>
      <c r="Z19" s="88">
        <f t="shared" si="3"/>
        <v>0</v>
      </c>
      <c r="AA19" s="88">
        <f>SUMIF(P7:P79,8,O7:O79)</f>
        <v>0</v>
      </c>
      <c r="AB19" s="50" t="str">
        <f>IF(W19&gt;='Request #7'!AA19,"OK","Alert, Explain")</f>
        <v>OK</v>
      </c>
      <c r="AE19" s="272" t="s">
        <v>73</v>
      </c>
      <c r="AF19" s="73"/>
      <c r="AG19" s="272" t="s">
        <v>30</v>
      </c>
    </row>
    <row r="20" spans="1:33" ht="30" customHeight="1" x14ac:dyDescent="0.3">
      <c r="A20" s="152"/>
      <c r="B20" s="157"/>
      <c r="C20" s="157"/>
      <c r="D20" s="154"/>
      <c r="E20" s="155"/>
      <c r="F20" s="158"/>
      <c r="G20" s="204">
        <f t="shared" si="0"/>
        <v>14</v>
      </c>
      <c r="H20" s="205" t="str">
        <f t="shared" si="0"/>
        <v>Other Contracts</v>
      </c>
      <c r="I20" s="247">
        <f t="shared" si="1"/>
        <v>0</v>
      </c>
      <c r="K20" s="152"/>
      <c r="L20" s="157"/>
      <c r="M20" s="157"/>
      <c r="N20" s="154"/>
      <c r="O20" s="155"/>
      <c r="P20" s="158"/>
      <c r="R20" s="50" t="str">
        <f>IF(V20='Request #7'!V20,"OK","Send in Change Order")</f>
        <v>OK</v>
      </c>
      <c r="S20" s="85">
        <v>9</v>
      </c>
      <c r="T20" s="86" t="str">
        <f>'Request #7'!T20</f>
        <v>Other Contracts</v>
      </c>
      <c r="U20" s="218">
        <f>'Request #7'!U20</f>
        <v>0</v>
      </c>
      <c r="V20" s="87">
        <f>'Request #7'!V20</f>
        <v>0</v>
      </c>
      <c r="W20" s="88">
        <f>SUMIF(F7:F79,9,E7:E79)</f>
        <v>0</v>
      </c>
      <c r="X20" s="88">
        <f>'Request #7'!Y20</f>
        <v>0</v>
      </c>
      <c r="Y20" s="88">
        <f t="shared" si="2"/>
        <v>0</v>
      </c>
      <c r="Z20" s="88">
        <f t="shared" si="3"/>
        <v>0</v>
      </c>
      <c r="AA20" s="88">
        <f>SUMIF(P7:P79,9,O7:O79)</f>
        <v>0</v>
      </c>
      <c r="AB20" s="50" t="str">
        <f>IF(W20&gt;='Request #7'!AA20,"OK","Alert, Explain")</f>
        <v>OK</v>
      </c>
      <c r="AE20" s="73"/>
      <c r="AF20" s="201"/>
      <c r="AG20" s="73"/>
    </row>
    <row r="21" spans="1:33" ht="30" customHeight="1" x14ac:dyDescent="0.3">
      <c r="A21" s="159"/>
      <c r="B21" s="157"/>
      <c r="C21" s="157"/>
      <c r="D21" s="154"/>
      <c r="E21" s="155"/>
      <c r="F21" s="158"/>
      <c r="G21" s="204">
        <f t="shared" si="0"/>
        <v>15</v>
      </c>
      <c r="H21" s="205" t="str">
        <f t="shared" si="0"/>
        <v>Other Contracts</v>
      </c>
      <c r="I21" s="247">
        <f t="shared" si="1"/>
        <v>0</v>
      </c>
      <c r="K21" s="159"/>
      <c r="L21" s="157"/>
      <c r="M21" s="157"/>
      <c r="N21" s="154"/>
      <c r="O21" s="155"/>
      <c r="P21" s="158"/>
      <c r="R21" s="50" t="str">
        <f>IF(V21='Request #7'!V21,"OK","Send in Change Order")</f>
        <v>OK</v>
      </c>
      <c r="S21" s="85">
        <v>10</v>
      </c>
      <c r="T21" s="86" t="str">
        <f>'Request #7'!T21</f>
        <v>Other Contracts</v>
      </c>
      <c r="U21" s="218">
        <f>'Request #7'!U21</f>
        <v>0</v>
      </c>
      <c r="V21" s="87">
        <f>'Request #7'!V21</f>
        <v>0</v>
      </c>
      <c r="W21" s="88">
        <f>SUMIF(F7:F79,10,E7:E79)</f>
        <v>0</v>
      </c>
      <c r="X21" s="88">
        <f>'Request #7'!Y21</f>
        <v>0</v>
      </c>
      <c r="Y21" s="88">
        <f t="shared" si="2"/>
        <v>0</v>
      </c>
      <c r="Z21" s="88">
        <f t="shared" si="3"/>
        <v>0</v>
      </c>
      <c r="AA21" s="88">
        <f>SUMIF(P7:P79,10,O7:O79)</f>
        <v>0</v>
      </c>
      <c r="AB21" s="50" t="str">
        <f>IF(W21&gt;='Request #7'!AA21,"OK","Alert, Explain")</f>
        <v>OK</v>
      </c>
      <c r="AE21" s="271"/>
      <c r="AF21" s="73"/>
      <c r="AG21" s="271"/>
    </row>
    <row r="22" spans="1:33" ht="30" customHeight="1" x14ac:dyDescent="0.3">
      <c r="A22" s="159"/>
      <c r="B22" s="157"/>
      <c r="C22" s="157"/>
      <c r="D22" s="154"/>
      <c r="E22" s="155"/>
      <c r="F22" s="158"/>
      <c r="G22" s="204">
        <f t="shared" si="0"/>
        <v>16</v>
      </c>
      <c r="H22" s="205" t="str">
        <f t="shared" si="0"/>
        <v>Other Contracts</v>
      </c>
      <c r="I22" s="247">
        <f t="shared" si="1"/>
        <v>0</v>
      </c>
      <c r="K22" s="159"/>
      <c r="L22" s="157"/>
      <c r="M22" s="157"/>
      <c r="N22" s="154"/>
      <c r="O22" s="155"/>
      <c r="P22" s="158"/>
      <c r="R22" s="50" t="str">
        <f>IF(V22='Request #7'!V22,"OK","Send in Change Order")</f>
        <v>OK</v>
      </c>
      <c r="S22" s="85">
        <v>11</v>
      </c>
      <c r="T22" s="86" t="str">
        <f>'Request #7'!T22</f>
        <v>Other Contracts</v>
      </c>
      <c r="U22" s="218">
        <f>'Request #7'!U22</f>
        <v>0</v>
      </c>
      <c r="V22" s="87">
        <f>'Request #7'!V22</f>
        <v>0</v>
      </c>
      <c r="W22" s="88">
        <f>SUMIF(F7:F79,11,E7:E79)</f>
        <v>0</v>
      </c>
      <c r="X22" s="88">
        <f>'Request #7'!Y22</f>
        <v>0</v>
      </c>
      <c r="Y22" s="88">
        <f t="shared" si="2"/>
        <v>0</v>
      </c>
      <c r="Z22" s="88">
        <f t="shared" si="3"/>
        <v>0</v>
      </c>
      <c r="AA22" s="88">
        <f>SUMIF(P7:P79,11,O7:O79)</f>
        <v>0</v>
      </c>
      <c r="AB22" s="50" t="str">
        <f>IF(W22&gt;='Request #7'!AA22,"OK","Alert, Explain")</f>
        <v>OK</v>
      </c>
      <c r="AE22" s="272" t="s">
        <v>74</v>
      </c>
      <c r="AF22" s="73"/>
      <c r="AG22" s="272" t="s">
        <v>30</v>
      </c>
    </row>
    <row r="23" spans="1:33" ht="30" customHeight="1" x14ac:dyDescent="0.3">
      <c r="A23" s="159"/>
      <c r="B23" s="157"/>
      <c r="C23" s="157"/>
      <c r="D23" s="154"/>
      <c r="E23" s="155"/>
      <c r="F23" s="158"/>
      <c r="G23" s="204">
        <f t="shared" si="0"/>
        <v>17</v>
      </c>
      <c r="H23" s="205" t="str">
        <f t="shared" si="0"/>
        <v>Other Contracts</v>
      </c>
      <c r="I23" s="247">
        <f t="shared" si="1"/>
        <v>0</v>
      </c>
      <c r="K23" s="159"/>
      <c r="L23" s="157"/>
      <c r="M23" s="157"/>
      <c r="N23" s="154"/>
      <c r="O23" s="155"/>
      <c r="P23" s="158"/>
      <c r="R23" s="50" t="str">
        <f>IF(V23='Request #7'!V23,"OK","Send in Change Order")</f>
        <v>OK</v>
      </c>
      <c r="S23" s="85">
        <v>12</v>
      </c>
      <c r="T23" s="86" t="str">
        <f>'Request #7'!T23</f>
        <v>Other Contracts</v>
      </c>
      <c r="U23" s="218">
        <f>'Request #7'!U23</f>
        <v>0</v>
      </c>
      <c r="V23" s="87">
        <f>'Request #7'!V23</f>
        <v>0</v>
      </c>
      <c r="W23" s="88">
        <f>SUMIF(F7:F79,12,E7:E79)</f>
        <v>0</v>
      </c>
      <c r="X23" s="88">
        <f>'Request #7'!Y23</f>
        <v>0</v>
      </c>
      <c r="Y23" s="88">
        <f t="shared" si="2"/>
        <v>0</v>
      </c>
      <c r="Z23" s="88">
        <f t="shared" si="3"/>
        <v>0</v>
      </c>
      <c r="AA23" s="88">
        <f>SUMIF(P7:P79,12,O7:O79)</f>
        <v>0</v>
      </c>
      <c r="AB23" s="50" t="str">
        <f>IF(W23&gt;='Request #7'!AA23,"OK","Alert, Explain")</f>
        <v>OK</v>
      </c>
      <c r="AE23" s="73"/>
      <c r="AF23" s="73"/>
      <c r="AG23" s="73"/>
    </row>
    <row r="24" spans="1:33" ht="30" customHeight="1" x14ac:dyDescent="0.3">
      <c r="A24" s="159"/>
      <c r="B24" s="157"/>
      <c r="C24" s="157"/>
      <c r="D24" s="154"/>
      <c r="E24" s="155"/>
      <c r="F24" s="158"/>
      <c r="G24" s="204">
        <f t="shared" si="0"/>
        <v>18</v>
      </c>
      <c r="H24" s="205" t="str">
        <f t="shared" si="0"/>
        <v>Other Contracts</v>
      </c>
      <c r="I24" s="247">
        <f t="shared" si="0"/>
        <v>0</v>
      </c>
      <c r="K24" s="159"/>
      <c r="L24" s="157"/>
      <c r="M24" s="157"/>
      <c r="N24" s="154"/>
      <c r="O24" s="155"/>
      <c r="P24" s="158"/>
      <c r="R24" s="50" t="str">
        <f>IF(V24='Request #7'!V24,"OK","Send in Change Order")</f>
        <v>OK</v>
      </c>
      <c r="S24" s="85">
        <v>13</v>
      </c>
      <c r="T24" s="86" t="str">
        <f>'Request #7'!T24</f>
        <v>Other Contracts</v>
      </c>
      <c r="U24" s="218">
        <f>'Request #7'!U24</f>
        <v>0</v>
      </c>
      <c r="V24" s="87">
        <f>'Request #7'!V24</f>
        <v>0</v>
      </c>
      <c r="W24" s="88">
        <f>SUMIF(F7:F79,13,E7:E79)</f>
        <v>0</v>
      </c>
      <c r="X24" s="88">
        <f>'Request #7'!Y24</f>
        <v>0</v>
      </c>
      <c r="Y24" s="88">
        <f t="shared" si="2"/>
        <v>0</v>
      </c>
      <c r="Z24" s="88">
        <f t="shared" si="3"/>
        <v>0</v>
      </c>
      <c r="AA24" s="88">
        <f>SUMIF(P7:P79,13,O7:O79)</f>
        <v>0</v>
      </c>
      <c r="AB24" s="50" t="str">
        <f>IF(W24&gt;='Request #7'!AA24,"OK","Alert, Explain")</f>
        <v>OK</v>
      </c>
      <c r="AE24" s="271"/>
      <c r="AF24" s="201"/>
      <c r="AG24" s="271"/>
    </row>
    <row r="25" spans="1:33" ht="30" customHeight="1" x14ac:dyDescent="0.3">
      <c r="A25" s="159"/>
      <c r="B25" s="157"/>
      <c r="C25" s="157"/>
      <c r="D25" s="154"/>
      <c r="E25" s="155"/>
      <c r="F25" s="158"/>
      <c r="G25" s="204">
        <f t="shared" ref="G25:I40" si="4">S30</f>
        <v>19</v>
      </c>
      <c r="H25" s="205" t="str">
        <f t="shared" si="4"/>
        <v>Other Contracts</v>
      </c>
      <c r="I25" s="247">
        <f t="shared" si="4"/>
        <v>0</v>
      </c>
      <c r="K25" s="159"/>
      <c r="L25" s="157"/>
      <c r="M25" s="157"/>
      <c r="N25" s="154"/>
      <c r="O25" s="155"/>
      <c r="P25" s="158"/>
      <c r="R25" s="50" t="str">
        <f>IF(V25='Request #7'!V25,"OK","Send in Change Order")</f>
        <v>OK</v>
      </c>
      <c r="S25" s="85">
        <v>14</v>
      </c>
      <c r="T25" s="86" t="str">
        <f>'Request #7'!T25</f>
        <v>Other Contracts</v>
      </c>
      <c r="U25" s="218">
        <f>'Request #7'!U25</f>
        <v>0</v>
      </c>
      <c r="V25" s="87">
        <f>'Request #7'!V25</f>
        <v>0</v>
      </c>
      <c r="W25" s="88">
        <f>SUMIF(F7:F79,14,E7:E79)</f>
        <v>0</v>
      </c>
      <c r="X25" s="88">
        <f>'Request #7'!Y25</f>
        <v>0</v>
      </c>
      <c r="Y25" s="88">
        <f t="shared" si="2"/>
        <v>0</v>
      </c>
      <c r="Z25" s="88">
        <f t="shared" si="3"/>
        <v>0</v>
      </c>
      <c r="AA25" s="88">
        <f>SUMIF(P7:P79,14,O7:O79)</f>
        <v>0</v>
      </c>
      <c r="AB25" s="50" t="str">
        <f>IF(W25&gt;='Request #7'!AA25,"OK","Alert, Explain")</f>
        <v>OK</v>
      </c>
      <c r="AE25" s="272" t="s">
        <v>75</v>
      </c>
      <c r="AF25" s="201"/>
      <c r="AG25" s="272" t="s">
        <v>30</v>
      </c>
    </row>
    <row r="26" spans="1:33" ht="30" customHeight="1" x14ac:dyDescent="0.3">
      <c r="A26" s="159"/>
      <c r="B26" s="157"/>
      <c r="C26" s="157"/>
      <c r="D26" s="154"/>
      <c r="E26" s="155"/>
      <c r="F26" s="158"/>
      <c r="G26" s="204">
        <f t="shared" si="4"/>
        <v>20</v>
      </c>
      <c r="H26" s="205" t="str">
        <f t="shared" si="4"/>
        <v>Other Contracts</v>
      </c>
      <c r="I26" s="247">
        <f t="shared" si="4"/>
        <v>0</v>
      </c>
      <c r="K26" s="159"/>
      <c r="L26" s="157"/>
      <c r="M26" s="157"/>
      <c r="N26" s="154"/>
      <c r="O26" s="155"/>
      <c r="P26" s="158"/>
      <c r="R26" s="50" t="str">
        <f>IF(V26='Request #7'!V26,"OK","Send in Change Order")</f>
        <v>OK</v>
      </c>
      <c r="S26" s="85">
        <v>15</v>
      </c>
      <c r="T26" s="86" t="str">
        <f>'Request #7'!T26</f>
        <v>Other Contracts</v>
      </c>
      <c r="U26" s="218">
        <f>'Request #7'!U26</f>
        <v>0</v>
      </c>
      <c r="V26" s="87">
        <f>'Request #7'!V26</f>
        <v>0</v>
      </c>
      <c r="W26" s="88">
        <f>SUMIF(F7:F79,15,E7:E79)</f>
        <v>0</v>
      </c>
      <c r="X26" s="88">
        <f>'Request #7'!Y26</f>
        <v>0</v>
      </c>
      <c r="Y26" s="88">
        <f t="shared" si="2"/>
        <v>0</v>
      </c>
      <c r="Z26" s="88">
        <f t="shared" si="3"/>
        <v>0</v>
      </c>
      <c r="AA26" s="88">
        <f>SUMIF(P7:P79,15,O7:O79)</f>
        <v>0</v>
      </c>
      <c r="AB26" s="50" t="str">
        <f>IF(W26&gt;='Request #7'!AA26,"OK","Alert, Explain")</f>
        <v>OK</v>
      </c>
      <c r="AE26" s="92"/>
      <c r="AF26" s="92"/>
      <c r="AG26" s="92"/>
    </row>
    <row r="27" spans="1:33" ht="30" customHeight="1" x14ac:dyDescent="0.3">
      <c r="A27" s="159"/>
      <c r="B27" s="157"/>
      <c r="C27" s="157"/>
      <c r="D27" s="154"/>
      <c r="E27" s="155"/>
      <c r="F27" s="158"/>
      <c r="G27" s="204">
        <f t="shared" si="4"/>
        <v>21</v>
      </c>
      <c r="H27" s="205" t="str">
        <f t="shared" si="4"/>
        <v>Other Contracts</v>
      </c>
      <c r="I27" s="247">
        <f t="shared" si="4"/>
        <v>0</v>
      </c>
      <c r="K27" s="159"/>
      <c r="L27" s="157"/>
      <c r="M27" s="157"/>
      <c r="N27" s="154"/>
      <c r="O27" s="155"/>
      <c r="P27" s="158"/>
      <c r="R27" s="50" t="str">
        <f>IF(V27='Request #7'!V27,"OK","Send in Change Order")</f>
        <v>OK</v>
      </c>
      <c r="S27" s="85">
        <v>16</v>
      </c>
      <c r="T27" s="86" t="str">
        <f>'Request #7'!T27</f>
        <v>Other Contracts</v>
      </c>
      <c r="U27" s="218">
        <f>'Request #7'!U27</f>
        <v>0</v>
      </c>
      <c r="V27" s="87">
        <f>'Request #7'!V27</f>
        <v>0</v>
      </c>
      <c r="W27" s="88">
        <f>SUMIF(F7:F79,16,E7:E79)</f>
        <v>0</v>
      </c>
      <c r="X27" s="88">
        <f>'Request #7'!Y27</f>
        <v>0</v>
      </c>
      <c r="Y27" s="88">
        <f t="shared" si="2"/>
        <v>0</v>
      </c>
      <c r="Z27" s="88">
        <f t="shared" si="3"/>
        <v>0</v>
      </c>
      <c r="AA27" s="88">
        <f>SUMIF(P7:P79,16,O7:O79)</f>
        <v>0</v>
      </c>
      <c r="AB27" s="50" t="str">
        <f>IF(W27&gt;='Request #7'!AA27,"OK","Alert, Explain")</f>
        <v>OK</v>
      </c>
      <c r="AE27" s="92"/>
      <c r="AF27" s="39" t="s">
        <v>76</v>
      </c>
      <c r="AG27" s="273">
        <f>Y68</f>
        <v>0</v>
      </c>
    </row>
    <row r="28" spans="1:33" ht="30" customHeight="1" x14ac:dyDescent="0.3">
      <c r="A28" s="159"/>
      <c r="B28" s="157"/>
      <c r="C28" s="157"/>
      <c r="D28" s="154"/>
      <c r="E28" s="155"/>
      <c r="F28" s="158"/>
      <c r="G28" s="204">
        <f t="shared" si="4"/>
        <v>22</v>
      </c>
      <c r="H28" s="205" t="str">
        <f t="shared" si="4"/>
        <v>Other Contracts</v>
      </c>
      <c r="I28" s="247">
        <f t="shared" si="4"/>
        <v>0</v>
      </c>
      <c r="K28" s="159"/>
      <c r="L28" s="157"/>
      <c r="M28" s="157"/>
      <c r="N28" s="154"/>
      <c r="O28" s="155"/>
      <c r="P28" s="158"/>
      <c r="R28" s="50" t="str">
        <f>IF(V28='Request #7'!V28,"OK","Send in Change Order")</f>
        <v>OK</v>
      </c>
      <c r="S28" s="85">
        <v>17</v>
      </c>
      <c r="T28" s="86" t="str">
        <f>'Request #7'!T28</f>
        <v>Other Contracts</v>
      </c>
      <c r="U28" s="218">
        <f>'Request #7'!U28</f>
        <v>0</v>
      </c>
      <c r="V28" s="87">
        <f>'Request #7'!V28</f>
        <v>0</v>
      </c>
      <c r="W28" s="88">
        <f>SUMIF(F7:F79,17,E7:E79)</f>
        <v>0</v>
      </c>
      <c r="X28" s="88">
        <f>'Request #7'!Y28</f>
        <v>0</v>
      </c>
      <c r="Y28" s="88">
        <f t="shared" si="2"/>
        <v>0</v>
      </c>
      <c r="Z28" s="88">
        <f t="shared" si="3"/>
        <v>0</v>
      </c>
      <c r="AA28" s="88">
        <f>SUMIF(P7:P79,17,O7:O79)</f>
        <v>0</v>
      </c>
      <c r="AB28" s="50" t="str">
        <f>IF(W28&gt;='Request #7'!AA28,"OK","Alert, Explain")</f>
        <v>OK</v>
      </c>
      <c r="AE28" s="93" t="s">
        <v>77</v>
      </c>
      <c r="AF28" s="92"/>
      <c r="AG28" s="73"/>
    </row>
    <row r="29" spans="1:33" ht="30" customHeight="1" x14ac:dyDescent="0.3">
      <c r="A29" s="159"/>
      <c r="B29" s="157"/>
      <c r="C29" s="157"/>
      <c r="D29" s="154"/>
      <c r="E29" s="155"/>
      <c r="F29" s="158"/>
      <c r="G29" s="204">
        <f t="shared" si="4"/>
        <v>23</v>
      </c>
      <c r="H29" s="205" t="str">
        <f t="shared" si="4"/>
        <v>Other Contracts</v>
      </c>
      <c r="I29" s="247">
        <f t="shared" si="4"/>
        <v>0</v>
      </c>
      <c r="K29" s="159"/>
      <c r="L29" s="157"/>
      <c r="M29" s="157"/>
      <c r="N29" s="154"/>
      <c r="O29" s="155"/>
      <c r="P29" s="158"/>
      <c r="R29" s="50" t="str">
        <f>IF(V29='Request #7'!V29,"OK","Send in Change Order")</f>
        <v>OK</v>
      </c>
      <c r="S29" s="85">
        <v>18</v>
      </c>
      <c r="T29" s="86" t="str">
        <f>'Request #7'!T29</f>
        <v>Other Contracts</v>
      </c>
      <c r="U29" s="218">
        <f>'Request #7'!U29</f>
        <v>0</v>
      </c>
      <c r="V29" s="87">
        <f>'Request #7'!V29</f>
        <v>0</v>
      </c>
      <c r="W29" s="88">
        <f>SUMIF(F7:F79,18,E7:E79)</f>
        <v>0</v>
      </c>
      <c r="X29" s="88">
        <f>'Request #7'!Y29</f>
        <v>0</v>
      </c>
      <c r="Y29" s="88">
        <f t="shared" si="2"/>
        <v>0</v>
      </c>
      <c r="Z29" s="88">
        <f t="shared" si="3"/>
        <v>0</v>
      </c>
      <c r="AA29" s="88">
        <f>SUMIF(P7:P79,18,O7:O79)</f>
        <v>0</v>
      </c>
      <c r="AB29" s="50" t="str">
        <f>IF(W29&gt;='Request #7'!AA29,"OK","Alert, Explain")</f>
        <v>OK</v>
      </c>
      <c r="AE29" s="94"/>
      <c r="AF29" s="258" t="s">
        <v>78</v>
      </c>
      <c r="AG29" s="257"/>
    </row>
    <row r="30" spans="1:33" ht="30" customHeight="1" x14ac:dyDescent="0.3">
      <c r="A30" s="159"/>
      <c r="B30" s="157"/>
      <c r="C30" s="157"/>
      <c r="D30" s="154"/>
      <c r="E30" s="155"/>
      <c r="F30" s="158"/>
      <c r="G30" s="204">
        <f t="shared" si="4"/>
        <v>24</v>
      </c>
      <c r="H30" s="205" t="str">
        <f t="shared" si="4"/>
        <v>Other Contracts</v>
      </c>
      <c r="I30" s="247">
        <f t="shared" si="4"/>
        <v>0</v>
      </c>
      <c r="K30" s="159"/>
      <c r="L30" s="157"/>
      <c r="M30" s="157"/>
      <c r="N30" s="154"/>
      <c r="O30" s="155"/>
      <c r="P30" s="158"/>
      <c r="R30" s="50" t="str">
        <f>IF(V30='Request #7'!V30,"OK","Send in Change Order")</f>
        <v>OK</v>
      </c>
      <c r="S30" s="85">
        <v>19</v>
      </c>
      <c r="T30" s="86" t="str">
        <f>'Request #7'!T30</f>
        <v>Other Contracts</v>
      </c>
      <c r="U30" s="218">
        <f>'Request #7'!U30</f>
        <v>0</v>
      </c>
      <c r="V30" s="87">
        <f>'Request #7'!V30</f>
        <v>0</v>
      </c>
      <c r="W30" s="88">
        <f>SUMIF(F7:F79,19,E7:E79)</f>
        <v>0</v>
      </c>
      <c r="X30" s="88">
        <f>'Request #7'!Y30</f>
        <v>0</v>
      </c>
      <c r="Y30" s="88">
        <f t="shared" si="2"/>
        <v>0</v>
      </c>
      <c r="Z30" s="88">
        <f t="shared" si="3"/>
        <v>0</v>
      </c>
      <c r="AA30" s="88">
        <f>SUMIF(P7:P79,19,O7:O79)</f>
        <v>0</v>
      </c>
      <c r="AB30" s="50" t="str">
        <f>IF(W30&gt;='Request #7'!AA30,"OK","Alert, Explain")</f>
        <v>OK</v>
      </c>
      <c r="AE30" s="95" t="s">
        <v>79</v>
      </c>
      <c r="AF30" s="259"/>
      <c r="AG30" s="255"/>
    </row>
    <row r="31" spans="1:33" ht="30" customHeight="1" x14ac:dyDescent="0.3">
      <c r="A31" s="159"/>
      <c r="B31" s="157"/>
      <c r="C31" s="157"/>
      <c r="D31" s="154"/>
      <c r="E31" s="155"/>
      <c r="F31" s="158"/>
      <c r="G31" s="204">
        <f t="shared" si="4"/>
        <v>25</v>
      </c>
      <c r="H31" s="205" t="str">
        <f t="shared" si="4"/>
        <v>Other Contracts</v>
      </c>
      <c r="I31" s="247">
        <f t="shared" si="4"/>
        <v>0</v>
      </c>
      <c r="K31" s="159"/>
      <c r="L31" s="157"/>
      <c r="M31" s="157"/>
      <c r="N31" s="154"/>
      <c r="O31" s="155"/>
      <c r="P31" s="158"/>
      <c r="R31" s="50" t="str">
        <f>IF(V31='Request #7'!V31,"OK","Send in Change Order")</f>
        <v>OK</v>
      </c>
      <c r="S31" s="85">
        <v>20</v>
      </c>
      <c r="T31" s="86" t="str">
        <f>'Request #7'!T31</f>
        <v>Other Contracts</v>
      </c>
      <c r="U31" s="218">
        <f>'Request #7'!U31</f>
        <v>0</v>
      </c>
      <c r="V31" s="87">
        <f>'Request #7'!V31</f>
        <v>0</v>
      </c>
      <c r="W31" s="88">
        <f>SUMIF(F7:F79,20,E7:E79)</f>
        <v>0</v>
      </c>
      <c r="X31" s="88">
        <f>'Request #7'!Y31</f>
        <v>0</v>
      </c>
      <c r="Y31" s="88">
        <f t="shared" si="2"/>
        <v>0</v>
      </c>
      <c r="Z31" s="88">
        <f t="shared" si="3"/>
        <v>0</v>
      </c>
      <c r="AA31" s="88">
        <f>SUMIF(P7:P79,20,O7:O79)</f>
        <v>0</v>
      </c>
      <c r="AB31" s="50" t="str">
        <f>IF(W31&gt;='Request #7'!AA31,"OK","Alert, Explain")</f>
        <v>OK</v>
      </c>
      <c r="AE31" s="96"/>
      <c r="AF31" s="259" t="s">
        <v>29</v>
      </c>
      <c r="AG31" s="257"/>
    </row>
    <row r="32" spans="1:33" ht="30" customHeight="1" x14ac:dyDescent="0.3">
      <c r="A32" s="159"/>
      <c r="B32" s="157"/>
      <c r="C32" s="157"/>
      <c r="D32" s="154"/>
      <c r="E32" s="155"/>
      <c r="F32" s="158"/>
      <c r="G32" s="204">
        <f t="shared" si="4"/>
        <v>26</v>
      </c>
      <c r="H32" s="205" t="str">
        <f t="shared" si="4"/>
        <v>Other Fees</v>
      </c>
      <c r="I32" s="247">
        <f t="shared" si="4"/>
        <v>0</v>
      </c>
      <c r="K32" s="159"/>
      <c r="L32" s="157"/>
      <c r="M32" s="157"/>
      <c r="N32" s="154"/>
      <c r="O32" s="155"/>
      <c r="P32" s="158"/>
      <c r="R32" s="50" t="str">
        <f>IF(V32='Request #7'!V32,"OK","Send in Change Order")</f>
        <v>OK</v>
      </c>
      <c r="S32" s="85">
        <v>21</v>
      </c>
      <c r="T32" s="86" t="str">
        <f>'Request #7'!T32</f>
        <v>Other Contracts</v>
      </c>
      <c r="U32" s="218">
        <f>'Request #7'!U32</f>
        <v>0</v>
      </c>
      <c r="V32" s="87">
        <f>'Request #7'!V32</f>
        <v>0</v>
      </c>
      <c r="W32" s="88">
        <f>SUMIF(F7:F79,21,E7:E79)</f>
        <v>0</v>
      </c>
      <c r="X32" s="88">
        <f>'Request #7'!Y32</f>
        <v>0</v>
      </c>
      <c r="Y32" s="88">
        <f t="shared" si="2"/>
        <v>0</v>
      </c>
      <c r="Z32" s="88">
        <f t="shared" si="3"/>
        <v>0</v>
      </c>
      <c r="AA32" s="88">
        <f>SUMIF(P7:P79,21,O7:O79)</f>
        <v>0</v>
      </c>
      <c r="AB32" s="50" t="str">
        <f>IF(W32&gt;='Request #7'!AA32,"OK","Alert, Explain")</f>
        <v>OK</v>
      </c>
      <c r="AE32" s="97"/>
      <c r="AF32" s="259"/>
      <c r="AG32" s="255"/>
    </row>
    <row r="33" spans="1:33" ht="30" customHeight="1" x14ac:dyDescent="0.3">
      <c r="A33" s="159"/>
      <c r="B33" s="157"/>
      <c r="C33" s="157"/>
      <c r="D33" s="154"/>
      <c r="E33" s="155"/>
      <c r="F33" s="158"/>
      <c r="G33" s="204">
        <f t="shared" si="4"/>
        <v>27</v>
      </c>
      <c r="H33" s="205" t="str">
        <f t="shared" si="4"/>
        <v>Other Fees</v>
      </c>
      <c r="I33" s="247">
        <f t="shared" si="4"/>
        <v>0</v>
      </c>
      <c r="K33" s="159"/>
      <c r="L33" s="157"/>
      <c r="M33" s="157"/>
      <c r="N33" s="154"/>
      <c r="O33" s="155"/>
      <c r="P33" s="158"/>
      <c r="R33" s="50" t="str">
        <f>IF(V33='Request #7'!V33,"OK","Send in Change Order")</f>
        <v>OK</v>
      </c>
      <c r="S33" s="85">
        <v>22</v>
      </c>
      <c r="T33" s="86" t="str">
        <f>'Request #7'!T33</f>
        <v>Other Contracts</v>
      </c>
      <c r="U33" s="218">
        <f>'Request #7'!U33</f>
        <v>0</v>
      </c>
      <c r="V33" s="87">
        <f>'Request #7'!V33</f>
        <v>0</v>
      </c>
      <c r="W33" s="88">
        <f>SUMIF(F7:F79,22,E7:E79)</f>
        <v>0</v>
      </c>
      <c r="X33" s="88">
        <f>'Request #7'!Y33</f>
        <v>0</v>
      </c>
      <c r="Y33" s="88">
        <f t="shared" si="2"/>
        <v>0</v>
      </c>
      <c r="Z33" s="88">
        <f t="shared" si="3"/>
        <v>0</v>
      </c>
      <c r="AA33" s="88">
        <f>SUMIF(P7:P79,22,O7:O79)</f>
        <v>0</v>
      </c>
      <c r="AB33" s="50" t="str">
        <f>IF(W33&gt;='Request #7'!AA33,"OK","Alert, Explain")</f>
        <v>OK</v>
      </c>
      <c r="AE33" s="95" t="s">
        <v>80</v>
      </c>
      <c r="AF33" s="276"/>
      <c r="AG33" s="272"/>
    </row>
    <row r="34" spans="1:33" ht="30" customHeight="1" x14ac:dyDescent="0.3">
      <c r="A34" s="159"/>
      <c r="B34" s="157"/>
      <c r="C34" s="157"/>
      <c r="D34" s="154"/>
      <c r="E34" s="155"/>
      <c r="F34" s="158"/>
      <c r="G34" s="204">
        <f t="shared" si="4"/>
        <v>28</v>
      </c>
      <c r="H34" s="205" t="str">
        <f t="shared" si="4"/>
        <v>Other Fees</v>
      </c>
      <c r="I34" s="247">
        <f t="shared" si="4"/>
        <v>0</v>
      </c>
      <c r="K34" s="159"/>
      <c r="L34" s="157"/>
      <c r="M34" s="157"/>
      <c r="N34" s="154"/>
      <c r="O34" s="155"/>
      <c r="P34" s="158"/>
      <c r="R34" s="50" t="str">
        <f>IF(V34='Request #7'!V34,"OK","Send in Change Order")</f>
        <v>OK</v>
      </c>
      <c r="S34" s="85">
        <v>23</v>
      </c>
      <c r="T34" s="86" t="str">
        <f>'Request #7'!T34</f>
        <v>Other Contracts</v>
      </c>
      <c r="U34" s="218">
        <f>'Request #7'!U34</f>
        <v>0</v>
      </c>
      <c r="V34" s="87">
        <f>'Request #7'!V34</f>
        <v>0</v>
      </c>
      <c r="W34" s="88">
        <f>SUMIF(F7:F79,23,E7:E79)</f>
        <v>0</v>
      </c>
      <c r="X34" s="88">
        <f>'Request #7'!Y34</f>
        <v>0</v>
      </c>
      <c r="Y34" s="88">
        <f t="shared" si="2"/>
        <v>0</v>
      </c>
      <c r="Z34" s="88">
        <f t="shared" si="3"/>
        <v>0</v>
      </c>
      <c r="AA34" s="88">
        <f>SUMIF(P7:P79,23,O7:O79)</f>
        <v>0</v>
      </c>
      <c r="AB34" s="50" t="str">
        <f>IF(W34&gt;='Request #7'!AA34,"OK","Alert, Explain")</f>
        <v>OK</v>
      </c>
      <c r="AE34" s="98"/>
      <c r="AF34" s="287"/>
      <c r="AG34" s="256"/>
    </row>
    <row r="35" spans="1:33" ht="30" customHeight="1" x14ac:dyDescent="0.3">
      <c r="A35" s="159"/>
      <c r="B35" s="157"/>
      <c r="C35" s="157"/>
      <c r="D35" s="154"/>
      <c r="E35" s="155"/>
      <c r="F35" s="158"/>
      <c r="G35" s="204">
        <f t="shared" si="4"/>
        <v>29</v>
      </c>
      <c r="H35" s="205" t="str">
        <f t="shared" si="4"/>
        <v>Other Fees</v>
      </c>
      <c r="I35" s="247">
        <f t="shared" si="4"/>
        <v>0</v>
      </c>
      <c r="K35" s="159"/>
      <c r="L35" s="157"/>
      <c r="M35" s="157"/>
      <c r="N35" s="154"/>
      <c r="O35" s="155"/>
      <c r="P35" s="158"/>
      <c r="R35" s="50" t="str">
        <f>IF(V35='Request #7'!V35,"OK","Send in Change Order")</f>
        <v>OK</v>
      </c>
      <c r="S35" s="85">
        <v>24</v>
      </c>
      <c r="T35" s="86" t="str">
        <f>'Request #7'!T35</f>
        <v>Other Contracts</v>
      </c>
      <c r="U35" s="218">
        <f>'Request #7'!U35</f>
        <v>0</v>
      </c>
      <c r="V35" s="87">
        <f>'Request #7'!V35</f>
        <v>0</v>
      </c>
      <c r="W35" s="88">
        <f>SUMIF(F7:F79,24,E7:E79)</f>
        <v>0</v>
      </c>
      <c r="X35" s="88">
        <f>'Request #7'!Y35</f>
        <v>0</v>
      </c>
      <c r="Y35" s="88">
        <f t="shared" si="2"/>
        <v>0</v>
      </c>
      <c r="Z35" s="88">
        <f t="shared" si="3"/>
        <v>0</v>
      </c>
      <c r="AA35" s="88">
        <f>SUMIF(P7:P79,24,O7:O79)</f>
        <v>0</v>
      </c>
      <c r="AB35" s="50" t="str">
        <f>IF(W35&gt;='Request #7'!AA35,"OK","Alert, Explain")</f>
        <v>OK</v>
      </c>
      <c r="AE35" s="92"/>
      <c r="AF35" s="92"/>
      <c r="AG35" s="92"/>
    </row>
    <row r="36" spans="1:33" ht="30" customHeight="1" x14ac:dyDescent="0.3">
      <c r="A36" s="159"/>
      <c r="B36" s="157"/>
      <c r="C36" s="157"/>
      <c r="D36" s="154"/>
      <c r="E36" s="155"/>
      <c r="F36" s="158"/>
      <c r="G36" s="204">
        <f t="shared" si="4"/>
        <v>30</v>
      </c>
      <c r="H36" s="205" t="str">
        <f t="shared" si="4"/>
        <v>Other Fees</v>
      </c>
      <c r="I36" s="247">
        <f t="shared" si="4"/>
        <v>0</v>
      </c>
      <c r="K36" s="159"/>
      <c r="L36" s="157"/>
      <c r="M36" s="157"/>
      <c r="N36" s="154"/>
      <c r="O36" s="155"/>
      <c r="P36" s="158"/>
      <c r="R36" s="50" t="str">
        <f>IF(V36='Request #7'!V36,"OK","Send in Change Order")</f>
        <v>OK</v>
      </c>
      <c r="S36" s="85">
        <v>25</v>
      </c>
      <c r="T36" s="86" t="str">
        <f>'Request #7'!T36</f>
        <v>Other Contracts</v>
      </c>
      <c r="U36" s="218">
        <f>'Request #7'!U36</f>
        <v>0</v>
      </c>
      <c r="V36" s="87">
        <f>'Request #7'!V36</f>
        <v>0</v>
      </c>
      <c r="W36" s="88">
        <f>SUMIF(F7:F79,25,E7:E79)</f>
        <v>0</v>
      </c>
      <c r="X36" s="88">
        <f>'Request #7'!Y36</f>
        <v>0</v>
      </c>
      <c r="Y36" s="88">
        <f t="shared" si="2"/>
        <v>0</v>
      </c>
      <c r="Z36" s="88">
        <f t="shared" si="3"/>
        <v>0</v>
      </c>
      <c r="AA36" s="88">
        <f>SUMIF(P7:P79,25,O7:O79)</f>
        <v>0</v>
      </c>
      <c r="AB36" s="50" t="str">
        <f>IF(W36&gt;='Request #7'!AA36,"OK","Alert, Explain")</f>
        <v>OK</v>
      </c>
      <c r="AE36" s="99" t="s">
        <v>13</v>
      </c>
      <c r="AF36" s="311" t="s">
        <v>81</v>
      </c>
      <c r="AG36" s="312"/>
    </row>
    <row r="37" spans="1:33" ht="30" customHeight="1" x14ac:dyDescent="0.3">
      <c r="A37" s="159"/>
      <c r="B37" s="157"/>
      <c r="C37" s="157"/>
      <c r="D37" s="154"/>
      <c r="E37" s="155"/>
      <c r="F37" s="158"/>
      <c r="G37" s="204">
        <f t="shared" si="4"/>
        <v>31</v>
      </c>
      <c r="H37" s="205" t="str">
        <f t="shared" si="4"/>
        <v>Other Fees</v>
      </c>
      <c r="I37" s="247">
        <f t="shared" si="4"/>
        <v>0</v>
      </c>
      <c r="K37" s="159"/>
      <c r="L37" s="157"/>
      <c r="M37" s="157"/>
      <c r="N37" s="154"/>
      <c r="O37" s="155"/>
      <c r="P37" s="158"/>
      <c r="R37" s="50" t="str">
        <f>IF(V37='Request #7'!V37,"OK","Send in Change Order")</f>
        <v>OK</v>
      </c>
      <c r="S37" s="85">
        <v>26</v>
      </c>
      <c r="T37" s="86" t="str">
        <f>'Request #7'!T37</f>
        <v>Other Fees</v>
      </c>
      <c r="U37" s="218">
        <f>'Request #7'!U37</f>
        <v>0</v>
      </c>
      <c r="V37" s="87">
        <f>'Request #7'!V37</f>
        <v>0</v>
      </c>
      <c r="W37" s="88">
        <f>SUMIF(F7:F79,26,E7:E79)</f>
        <v>0</v>
      </c>
      <c r="X37" s="88">
        <f>'Request #7'!Y37</f>
        <v>0</v>
      </c>
      <c r="Y37" s="88">
        <f t="shared" si="2"/>
        <v>0</v>
      </c>
      <c r="Z37" s="88">
        <f t="shared" si="3"/>
        <v>0</v>
      </c>
      <c r="AA37" s="88">
        <f>SUMIF(P7:P79,26,O7:O79)</f>
        <v>0</v>
      </c>
      <c r="AB37" s="50" t="str">
        <f>IF(W37&gt;='Request #7'!AA37,"OK","Alert, Explain")</f>
        <v>OK</v>
      </c>
      <c r="AE37" s="100"/>
      <c r="AF37" s="274" t="s">
        <v>83</v>
      </c>
      <c r="AG37" s="275"/>
    </row>
    <row r="38" spans="1:33" ht="30" customHeight="1" x14ac:dyDescent="0.3">
      <c r="A38" s="159"/>
      <c r="B38" s="157"/>
      <c r="C38" s="157"/>
      <c r="D38" s="154"/>
      <c r="E38" s="155"/>
      <c r="F38" s="158"/>
      <c r="G38" s="204">
        <f t="shared" si="4"/>
        <v>32</v>
      </c>
      <c r="H38" s="205" t="str">
        <f t="shared" si="4"/>
        <v>Other Fees</v>
      </c>
      <c r="I38" s="247">
        <f t="shared" si="4"/>
        <v>0</v>
      </c>
      <c r="K38" s="159"/>
      <c r="L38" s="157"/>
      <c r="M38" s="157"/>
      <c r="N38" s="154"/>
      <c r="O38" s="155"/>
      <c r="P38" s="158"/>
      <c r="R38" s="50" t="str">
        <f>IF(V38='Request #7'!V38,"OK","Send in Change Order")</f>
        <v>OK</v>
      </c>
      <c r="S38" s="85">
        <v>27</v>
      </c>
      <c r="T38" s="86" t="str">
        <f>'Request #7'!T38</f>
        <v>Other Fees</v>
      </c>
      <c r="U38" s="218">
        <f>'Request #7'!U38</f>
        <v>0</v>
      </c>
      <c r="V38" s="87">
        <f>'Request #7'!V38</f>
        <v>0</v>
      </c>
      <c r="W38" s="88">
        <f>SUMIF(F7:F79,27,E7:E79)</f>
        <v>0</v>
      </c>
      <c r="X38" s="88">
        <f>'Request #7'!Y38</f>
        <v>0</v>
      </c>
      <c r="Y38" s="88">
        <f t="shared" si="2"/>
        <v>0</v>
      </c>
      <c r="Z38" s="88">
        <f t="shared" si="3"/>
        <v>0</v>
      </c>
      <c r="AA38" s="88">
        <f>SUMIF(P7:P79,27,O7:O79)</f>
        <v>0</v>
      </c>
      <c r="AB38" s="50" t="str">
        <f>IF(W38&gt;='Request #7'!AA38,"OK","Alert, Explain")</f>
        <v>OK</v>
      </c>
      <c r="AE38" s="100"/>
      <c r="AF38" s="264" t="s">
        <v>84</v>
      </c>
      <c r="AG38" s="265"/>
    </row>
    <row r="39" spans="1:33" ht="30" customHeight="1" x14ac:dyDescent="0.3">
      <c r="A39" s="159"/>
      <c r="B39" s="157"/>
      <c r="C39" s="157"/>
      <c r="D39" s="154"/>
      <c r="E39" s="155"/>
      <c r="F39" s="158"/>
      <c r="G39" s="204">
        <f t="shared" si="4"/>
        <v>33</v>
      </c>
      <c r="H39" s="205" t="str">
        <f t="shared" si="4"/>
        <v>Other Fees</v>
      </c>
      <c r="I39" s="247">
        <f t="shared" si="4"/>
        <v>0</v>
      </c>
      <c r="K39" s="159"/>
      <c r="L39" s="157"/>
      <c r="M39" s="157"/>
      <c r="N39" s="154"/>
      <c r="O39" s="155"/>
      <c r="P39" s="158"/>
      <c r="R39" s="50" t="str">
        <f>IF(V39='Request #7'!V39,"OK","Send in Change Order")</f>
        <v>OK</v>
      </c>
      <c r="S39" s="85">
        <v>28</v>
      </c>
      <c r="T39" s="86" t="str">
        <f>'Request #7'!T39</f>
        <v>Other Fees</v>
      </c>
      <c r="U39" s="218">
        <f>'Request #7'!U39</f>
        <v>0</v>
      </c>
      <c r="V39" s="87">
        <f>'Request #7'!V39</f>
        <v>0</v>
      </c>
      <c r="W39" s="88">
        <f>SUMIF(F7:F79,28,E7:E79)</f>
        <v>0</v>
      </c>
      <c r="X39" s="88">
        <f>'Request #7'!Y39</f>
        <v>0</v>
      </c>
      <c r="Y39" s="88">
        <f t="shared" si="2"/>
        <v>0</v>
      </c>
      <c r="Z39" s="88">
        <f t="shared" si="3"/>
        <v>0</v>
      </c>
      <c r="AA39" s="88">
        <f>SUMIF(P7:P79,28,O7:O79)</f>
        <v>0</v>
      </c>
      <c r="AB39" s="50" t="str">
        <f>IF(W39&gt;='Request #7'!AA39,"OK","Alert, Explain")</f>
        <v>OK</v>
      </c>
      <c r="AE39" s="100"/>
      <c r="AF39" s="264" t="s">
        <v>85</v>
      </c>
      <c r="AG39" s="266"/>
    </row>
    <row r="40" spans="1:33" ht="30" customHeight="1" x14ac:dyDescent="0.3">
      <c r="A40" s="159"/>
      <c r="B40" s="157"/>
      <c r="C40" s="157"/>
      <c r="D40" s="154"/>
      <c r="E40" s="155"/>
      <c r="F40" s="158"/>
      <c r="G40" s="204">
        <f t="shared" si="4"/>
        <v>0</v>
      </c>
      <c r="H40" s="205">
        <f t="shared" si="4"/>
        <v>0</v>
      </c>
      <c r="I40" s="247">
        <f t="shared" si="4"/>
        <v>0</v>
      </c>
      <c r="K40" s="159"/>
      <c r="L40" s="157"/>
      <c r="M40" s="157"/>
      <c r="N40" s="154"/>
      <c r="O40" s="155"/>
      <c r="P40" s="158"/>
      <c r="R40" s="50" t="str">
        <f>IF(V40='Request #7'!V40,"OK","Send in Change Order")</f>
        <v>OK</v>
      </c>
      <c r="S40" s="85">
        <v>29</v>
      </c>
      <c r="T40" s="86" t="str">
        <f>'Request #7'!T40</f>
        <v>Other Fees</v>
      </c>
      <c r="U40" s="218">
        <f>'Request #7'!U40</f>
        <v>0</v>
      </c>
      <c r="V40" s="87">
        <f>'Request #7'!V40</f>
        <v>0</v>
      </c>
      <c r="W40" s="88">
        <f>SUMIF(F7:F79,29,E7:E79)</f>
        <v>0</v>
      </c>
      <c r="X40" s="88">
        <f>'Request #7'!Y40</f>
        <v>0</v>
      </c>
      <c r="Y40" s="88">
        <f t="shared" si="2"/>
        <v>0</v>
      </c>
      <c r="Z40" s="88">
        <f t="shared" si="3"/>
        <v>0</v>
      </c>
      <c r="AA40" s="88">
        <f>SUMIF(P7:P79,29,O7:O79)</f>
        <v>0</v>
      </c>
      <c r="AB40" s="50" t="str">
        <f>IF(W40&gt;='Request #7'!AA40,"OK","Alert, Explain")</f>
        <v>OK</v>
      </c>
      <c r="AE40" s="100"/>
      <c r="AF40" s="264" t="s">
        <v>86</v>
      </c>
      <c r="AG40" s="266"/>
    </row>
    <row r="41" spans="1:33" ht="30" customHeight="1" x14ac:dyDescent="0.3">
      <c r="A41" s="159"/>
      <c r="B41" s="157"/>
      <c r="C41" s="157"/>
      <c r="D41" s="154"/>
      <c r="E41" s="155"/>
      <c r="F41" s="158"/>
      <c r="G41" s="204" t="str">
        <f t="shared" ref="G41:I56" si="5">S46</f>
        <v>Cost</v>
      </c>
      <c r="H41" s="205">
        <f t="shared" si="5"/>
        <v>0</v>
      </c>
      <c r="I41" s="247">
        <f t="shared" si="5"/>
        <v>0</v>
      </c>
      <c r="K41" s="159"/>
      <c r="L41" s="157"/>
      <c r="M41" s="157"/>
      <c r="N41" s="154"/>
      <c r="O41" s="155"/>
      <c r="P41" s="158"/>
      <c r="R41" s="50" t="str">
        <f>IF(V41='Request #7'!V41,"OK","Send in Change Order")</f>
        <v>OK</v>
      </c>
      <c r="S41" s="85">
        <v>30</v>
      </c>
      <c r="T41" s="86" t="str">
        <f>'Request #7'!T41</f>
        <v>Other Fees</v>
      </c>
      <c r="U41" s="218">
        <f>'Request #7'!U41</f>
        <v>0</v>
      </c>
      <c r="V41" s="87">
        <f>'Request #7'!V41</f>
        <v>0</v>
      </c>
      <c r="W41" s="88">
        <f>SUMIF(F7:F79,30,E7:E79)</f>
        <v>0</v>
      </c>
      <c r="X41" s="88">
        <f>'Request #7'!Y41</f>
        <v>0</v>
      </c>
      <c r="Y41" s="88">
        <f t="shared" si="2"/>
        <v>0</v>
      </c>
      <c r="Z41" s="88">
        <f t="shared" si="3"/>
        <v>0</v>
      </c>
      <c r="AA41" s="88">
        <f>SUMIF(P7:P79,30,O7:O79)</f>
        <v>0</v>
      </c>
      <c r="AB41" s="50" t="str">
        <f>IF(W41&gt;='Request #7'!AA41,"OK","Alert, Explain")</f>
        <v>OK</v>
      </c>
      <c r="AE41" s="101"/>
      <c r="AF41" s="92"/>
      <c r="AG41" s="92"/>
    </row>
    <row r="42" spans="1:33" ht="30" customHeight="1" x14ac:dyDescent="0.3">
      <c r="A42" s="159"/>
      <c r="B42" s="157"/>
      <c r="C42" s="157"/>
      <c r="D42" s="154"/>
      <c r="E42" s="155"/>
      <c r="F42" s="158"/>
      <c r="G42" s="204" t="str">
        <f t="shared" si="5"/>
        <v>Item</v>
      </c>
      <c r="H42" s="205" t="str">
        <f t="shared" si="5"/>
        <v>Account Name</v>
      </c>
      <c r="I42" s="247">
        <f t="shared" si="5"/>
        <v>0</v>
      </c>
      <c r="K42" s="159"/>
      <c r="L42" s="157"/>
      <c r="M42" s="157"/>
      <c r="N42" s="154"/>
      <c r="O42" s="155"/>
      <c r="P42" s="158"/>
      <c r="R42" s="50" t="str">
        <f>IF(V42='Request #7'!V42,"OK","Send in Change Order")</f>
        <v>OK</v>
      </c>
      <c r="S42" s="85">
        <v>31</v>
      </c>
      <c r="T42" s="86" t="str">
        <f>'Request #7'!T42</f>
        <v>Other Fees</v>
      </c>
      <c r="U42" s="218">
        <f>'Request #7'!U42</f>
        <v>0</v>
      </c>
      <c r="V42" s="87">
        <f>'Request #7'!V42</f>
        <v>0</v>
      </c>
      <c r="W42" s="88">
        <f>SUMIF(F7:F79,31,E7:E79)</f>
        <v>0</v>
      </c>
      <c r="X42" s="88">
        <f>'Request #7'!Y42</f>
        <v>0</v>
      </c>
      <c r="Y42" s="88">
        <f t="shared" si="2"/>
        <v>0</v>
      </c>
      <c r="Z42" s="88">
        <f t="shared" si="3"/>
        <v>0</v>
      </c>
      <c r="AA42" s="88">
        <f>SUMIF(P7:P79,31,O7:O79)</f>
        <v>0</v>
      </c>
      <c r="AB42" s="50" t="str">
        <f>IF(W42&gt;='Request #7'!AA42,"OK","Alert, Explain")</f>
        <v>OK</v>
      </c>
      <c r="AE42" s="100" t="s">
        <v>8</v>
      </c>
      <c r="AF42" s="92"/>
      <c r="AG42" s="92"/>
    </row>
    <row r="43" spans="1:33" ht="30" customHeight="1" x14ac:dyDescent="0.3">
      <c r="A43" s="159"/>
      <c r="B43" s="157"/>
      <c r="C43" s="157"/>
      <c r="D43" s="154"/>
      <c r="E43" s="155"/>
      <c r="F43" s="158"/>
      <c r="G43" s="204">
        <f t="shared" si="5"/>
        <v>0</v>
      </c>
      <c r="H43" s="205">
        <f t="shared" si="5"/>
        <v>0</v>
      </c>
      <c r="I43" s="247">
        <f t="shared" si="5"/>
        <v>0</v>
      </c>
      <c r="K43" s="159"/>
      <c r="L43" s="157"/>
      <c r="M43" s="157"/>
      <c r="N43" s="154"/>
      <c r="O43" s="155"/>
      <c r="P43" s="158"/>
      <c r="R43" s="50" t="str">
        <f>IF(V43='Request #7'!V43,"OK","Send in Change Order")</f>
        <v>OK</v>
      </c>
      <c r="S43" s="85">
        <v>32</v>
      </c>
      <c r="T43" s="86" t="str">
        <f>'Request #7'!T43</f>
        <v>Other Fees</v>
      </c>
      <c r="U43" s="218">
        <f>'Request #7'!U43</f>
        <v>0</v>
      </c>
      <c r="V43" s="87">
        <f>'Request #7'!V43</f>
        <v>0</v>
      </c>
      <c r="W43" s="88">
        <f>SUMIF(F7:F79,32,E7:E79)</f>
        <v>0</v>
      </c>
      <c r="X43" s="88">
        <f>'Request #7'!Y43</f>
        <v>0</v>
      </c>
      <c r="Y43" s="88">
        <f t="shared" si="2"/>
        <v>0</v>
      </c>
      <c r="Z43" s="88">
        <f t="shared" si="3"/>
        <v>0</v>
      </c>
      <c r="AA43" s="88">
        <f>SUMIF(P7:P79,32,O7:O79)</f>
        <v>0</v>
      </c>
      <c r="AB43" s="50" t="str">
        <f>IF(W43&gt;='Request #7'!AA43,"OK","Alert, Explain")</f>
        <v>OK</v>
      </c>
      <c r="AE43" s="100"/>
      <c r="AF43" s="92"/>
      <c r="AG43" s="92"/>
    </row>
    <row r="44" spans="1:33" ht="30" customHeight="1" x14ac:dyDescent="0.3">
      <c r="A44" s="160" t="s">
        <v>87</v>
      </c>
      <c r="B44" s="161"/>
      <c r="C44" s="162"/>
      <c r="D44" s="161"/>
      <c r="E44" s="163">
        <f>SUM(E7:E43)</f>
        <v>0</v>
      </c>
      <c r="F44" s="164"/>
      <c r="G44" s="204">
        <f t="shared" si="5"/>
        <v>38</v>
      </c>
      <c r="H44" s="205" t="str">
        <f t="shared" si="5"/>
        <v>Other Fees</v>
      </c>
      <c r="I44" s="247">
        <f t="shared" si="5"/>
        <v>0</v>
      </c>
      <c r="K44" s="160" t="s">
        <v>87</v>
      </c>
      <c r="L44" s="161"/>
      <c r="M44" s="162"/>
      <c r="N44" s="161"/>
      <c r="O44" s="163">
        <f>SUM(O7:O43)</f>
        <v>0</v>
      </c>
      <c r="P44" s="164"/>
      <c r="R44" s="50" t="str">
        <f>IF(V44='Request #7'!V44,"OK","Send in Change Order")</f>
        <v>OK</v>
      </c>
      <c r="S44" s="85">
        <v>33</v>
      </c>
      <c r="T44" s="86" t="str">
        <f>'Request #7'!T44</f>
        <v>Other Fees</v>
      </c>
      <c r="U44" s="218">
        <f>'Request #7'!U44</f>
        <v>0</v>
      </c>
      <c r="V44" s="87">
        <f>'Request #7'!V44</f>
        <v>0</v>
      </c>
      <c r="W44" s="88">
        <f>SUMIF(F7:F79,33,E7:E79)</f>
        <v>0</v>
      </c>
      <c r="X44" s="88">
        <f>'Request #7'!Y44</f>
        <v>0</v>
      </c>
      <c r="Y44" s="88">
        <f t="shared" si="2"/>
        <v>0</v>
      </c>
      <c r="Z44" s="88">
        <f t="shared" si="3"/>
        <v>0</v>
      </c>
      <c r="AA44" s="88">
        <f>SUMIF(P7:P79,33,O7:O79)</f>
        <v>0</v>
      </c>
      <c r="AB44" s="50" t="str">
        <f>IF(W44&gt;='Request #7'!AA44,"OK","Alert, Explain")</f>
        <v>OK</v>
      </c>
      <c r="AE44" s="101"/>
      <c r="AF44" s="92"/>
      <c r="AG44" s="92"/>
    </row>
    <row r="45" spans="1:33" ht="30" customHeight="1" x14ac:dyDescent="0.3">
      <c r="A45" s="147"/>
      <c r="B45" s="148"/>
      <c r="C45" s="304" t="s">
        <v>25</v>
      </c>
      <c r="D45" s="148"/>
      <c r="E45" s="149" t="s">
        <v>26</v>
      </c>
      <c r="F45" s="306" t="s">
        <v>27</v>
      </c>
      <c r="G45" s="204">
        <f t="shared" si="5"/>
        <v>39</v>
      </c>
      <c r="H45" s="205" t="str">
        <f t="shared" si="5"/>
        <v>Other Fees</v>
      </c>
      <c r="I45" s="247">
        <f t="shared" si="5"/>
        <v>0</v>
      </c>
      <c r="K45" s="147"/>
      <c r="L45" s="148"/>
      <c r="M45" s="304" t="s">
        <v>28</v>
      </c>
      <c r="N45" s="148"/>
      <c r="O45" s="149" t="s">
        <v>26</v>
      </c>
      <c r="P45" s="306" t="s">
        <v>27</v>
      </c>
      <c r="S45" s="66"/>
      <c r="T45" s="124"/>
      <c r="U45" s="125"/>
      <c r="V45" s="173" t="s">
        <v>37</v>
      </c>
      <c r="W45" s="70" t="s">
        <v>38</v>
      </c>
      <c r="X45" s="70" t="s">
        <v>39</v>
      </c>
      <c r="Y45" s="70" t="s">
        <v>40</v>
      </c>
      <c r="Z45" s="70" t="s">
        <v>41</v>
      </c>
      <c r="AA45" s="70" t="s">
        <v>42</v>
      </c>
      <c r="AB45" s="89"/>
    </row>
    <row r="46" spans="1:33" ht="30" customHeight="1" x14ac:dyDescent="0.3">
      <c r="A46" s="150" t="s">
        <v>30</v>
      </c>
      <c r="B46" s="151" t="s">
        <v>31</v>
      </c>
      <c r="C46" s="305"/>
      <c r="D46" s="151" t="s">
        <v>32</v>
      </c>
      <c r="E46" s="151" t="s">
        <v>33</v>
      </c>
      <c r="F46" s="307" t="s">
        <v>34</v>
      </c>
      <c r="G46" s="204">
        <f t="shared" si="5"/>
        <v>40</v>
      </c>
      <c r="H46" s="205" t="str">
        <f t="shared" si="5"/>
        <v>Other Fees</v>
      </c>
      <c r="I46" s="247">
        <f t="shared" si="5"/>
        <v>0</v>
      </c>
      <c r="K46" s="150" t="s">
        <v>30</v>
      </c>
      <c r="L46" s="151" t="s">
        <v>25</v>
      </c>
      <c r="M46" s="305"/>
      <c r="N46" s="151" t="s">
        <v>32</v>
      </c>
      <c r="O46" s="151" t="s">
        <v>33</v>
      </c>
      <c r="P46" s="307" t="s">
        <v>34</v>
      </c>
      <c r="S46" s="72" t="s">
        <v>43</v>
      </c>
      <c r="T46" s="55"/>
      <c r="U46" s="128"/>
      <c r="V46" s="174" t="s">
        <v>44</v>
      </c>
      <c r="W46" s="76" t="s">
        <v>45</v>
      </c>
      <c r="X46" s="76" t="s">
        <v>46</v>
      </c>
      <c r="Y46" s="76" t="s">
        <v>45</v>
      </c>
      <c r="Z46" s="76" t="s">
        <v>47</v>
      </c>
      <c r="AA46" s="76" t="s">
        <v>48</v>
      </c>
      <c r="AB46" s="89"/>
    </row>
    <row r="47" spans="1:33" ht="30" customHeight="1" x14ac:dyDescent="0.3">
      <c r="A47" s="159"/>
      <c r="B47" s="157"/>
      <c r="C47" s="157"/>
      <c r="D47" s="154"/>
      <c r="E47" s="155"/>
      <c r="F47" s="158"/>
      <c r="G47" s="204">
        <f t="shared" si="5"/>
        <v>41</v>
      </c>
      <c r="H47" s="205" t="str">
        <f t="shared" si="5"/>
        <v>Other Fees</v>
      </c>
      <c r="I47" s="247">
        <f t="shared" si="5"/>
        <v>0</v>
      </c>
      <c r="K47" s="159"/>
      <c r="L47" s="157"/>
      <c r="M47" s="157"/>
      <c r="N47" s="154"/>
      <c r="O47" s="155"/>
      <c r="P47" s="158"/>
      <c r="S47" s="72" t="s">
        <v>34</v>
      </c>
      <c r="T47" s="300" t="s">
        <v>50</v>
      </c>
      <c r="U47" s="301"/>
      <c r="V47" s="174" t="s">
        <v>51</v>
      </c>
      <c r="W47" s="76" t="s">
        <v>52</v>
      </c>
      <c r="X47" s="76" t="s">
        <v>53</v>
      </c>
      <c r="Y47" s="76" t="s">
        <v>54</v>
      </c>
      <c r="Z47" s="76" t="s">
        <v>55</v>
      </c>
      <c r="AA47" s="76" t="s">
        <v>56</v>
      </c>
      <c r="AB47" s="89"/>
    </row>
    <row r="48" spans="1:33" ht="30" customHeight="1" x14ac:dyDescent="0.3">
      <c r="A48" s="159"/>
      <c r="B48" s="157"/>
      <c r="C48" s="157"/>
      <c r="D48" s="154"/>
      <c r="E48" s="155"/>
      <c r="F48" s="158"/>
      <c r="G48" s="204">
        <f t="shared" si="5"/>
        <v>42</v>
      </c>
      <c r="H48" s="205" t="str">
        <f t="shared" si="5"/>
        <v>Other Fees</v>
      </c>
      <c r="I48" s="247">
        <f t="shared" si="5"/>
        <v>0</v>
      </c>
      <c r="K48" s="159"/>
      <c r="L48" s="157"/>
      <c r="M48" s="157"/>
      <c r="N48" s="154"/>
      <c r="O48" s="155"/>
      <c r="P48" s="158"/>
      <c r="S48" s="78"/>
      <c r="T48" s="129"/>
      <c r="U48" s="114"/>
      <c r="V48" s="175" t="s">
        <v>58</v>
      </c>
      <c r="W48" s="82" t="s">
        <v>59</v>
      </c>
      <c r="X48" s="82" t="s">
        <v>45</v>
      </c>
      <c r="Y48" s="82" t="s">
        <v>30</v>
      </c>
      <c r="Z48" s="82" t="s">
        <v>60</v>
      </c>
      <c r="AA48" s="83" t="s">
        <v>61</v>
      </c>
      <c r="AB48" s="89"/>
    </row>
    <row r="49" spans="1:28" ht="30" customHeight="1" x14ac:dyDescent="0.3">
      <c r="A49" s="159"/>
      <c r="B49" s="157"/>
      <c r="C49" s="157"/>
      <c r="D49" s="154"/>
      <c r="E49" s="155"/>
      <c r="F49" s="158"/>
      <c r="G49" s="204">
        <f t="shared" si="5"/>
        <v>43</v>
      </c>
      <c r="H49" s="205" t="str">
        <f t="shared" si="5"/>
        <v>Other Fees</v>
      </c>
      <c r="I49" s="247">
        <f t="shared" si="5"/>
        <v>0</v>
      </c>
      <c r="K49" s="159"/>
      <c r="L49" s="157"/>
      <c r="M49" s="157"/>
      <c r="N49" s="154"/>
      <c r="O49" s="155"/>
      <c r="P49" s="158"/>
      <c r="R49" s="50" t="str">
        <f>IF(V49='Request #7'!V49,"OK","Send in Change Order")</f>
        <v>OK</v>
      </c>
      <c r="S49" s="85">
        <v>38</v>
      </c>
      <c r="T49" s="86" t="str">
        <f>'Request #7'!T49</f>
        <v>Other Fees</v>
      </c>
      <c r="U49" s="218">
        <f>'Request #7'!U49</f>
        <v>0</v>
      </c>
      <c r="V49" s="87">
        <f>'Request #7'!V49</f>
        <v>0</v>
      </c>
      <c r="W49" s="88">
        <f>SUMIF(F7:F79,38,E7:E79)</f>
        <v>0</v>
      </c>
      <c r="X49" s="88">
        <f>'Request #7'!Y49</f>
        <v>0</v>
      </c>
      <c r="Y49" s="88">
        <f t="shared" si="2"/>
        <v>0</v>
      </c>
      <c r="Z49" s="88">
        <f t="shared" si="3"/>
        <v>0</v>
      </c>
      <c r="AA49" s="88">
        <f>SUMIF(P7:P79,38,O7:O79)</f>
        <v>0</v>
      </c>
      <c r="AB49" s="50" t="str">
        <f>IF(W49&gt;='Request #7'!AA49,"OK","Alert, Explain")</f>
        <v>OK</v>
      </c>
    </row>
    <row r="50" spans="1:28" ht="30" customHeight="1" x14ac:dyDescent="0.3">
      <c r="A50" s="159"/>
      <c r="B50" s="157"/>
      <c r="C50" s="157"/>
      <c r="D50" s="154"/>
      <c r="E50" s="155"/>
      <c r="F50" s="158"/>
      <c r="G50" s="204">
        <f t="shared" si="5"/>
        <v>44</v>
      </c>
      <c r="H50" s="205" t="str">
        <f t="shared" si="5"/>
        <v>Other Fees</v>
      </c>
      <c r="I50" s="247">
        <f t="shared" si="5"/>
        <v>0</v>
      </c>
      <c r="K50" s="159"/>
      <c r="L50" s="157"/>
      <c r="M50" s="157"/>
      <c r="N50" s="154"/>
      <c r="O50" s="155"/>
      <c r="P50" s="158"/>
      <c r="R50" s="50" t="str">
        <f>IF(V50='Request #7'!V50,"OK","Send in Change Order")</f>
        <v>OK</v>
      </c>
      <c r="S50" s="85">
        <v>39</v>
      </c>
      <c r="T50" s="86" t="str">
        <f>'Request #7'!T50</f>
        <v>Other Fees</v>
      </c>
      <c r="U50" s="218">
        <f>'Request #7'!U50</f>
        <v>0</v>
      </c>
      <c r="V50" s="87">
        <f>'Request #7'!V50</f>
        <v>0</v>
      </c>
      <c r="W50" s="88">
        <f>SUMIF(F7:F79,39,E7:E79)</f>
        <v>0</v>
      </c>
      <c r="X50" s="88">
        <f>'Request #7'!Y50</f>
        <v>0</v>
      </c>
      <c r="Y50" s="88">
        <f t="shared" si="2"/>
        <v>0</v>
      </c>
      <c r="Z50" s="88">
        <f t="shared" si="3"/>
        <v>0</v>
      </c>
      <c r="AA50" s="88">
        <f>SUMIF(P7:P79,39,O7:O79)</f>
        <v>0</v>
      </c>
      <c r="AB50" s="50" t="str">
        <f>IF(W50&gt;='Request #7'!AA50,"OK","Alert, Explain")</f>
        <v>OK</v>
      </c>
    </row>
    <row r="51" spans="1:28" ht="30" customHeight="1" x14ac:dyDescent="0.3">
      <c r="A51" s="159"/>
      <c r="B51" s="157"/>
      <c r="C51" s="157"/>
      <c r="D51" s="154"/>
      <c r="E51" s="155"/>
      <c r="F51" s="158"/>
      <c r="G51" s="204">
        <f t="shared" si="5"/>
        <v>45</v>
      </c>
      <c r="H51" s="205" t="str">
        <f t="shared" si="5"/>
        <v>Other Fees</v>
      </c>
      <c r="I51" s="247">
        <f t="shared" si="5"/>
        <v>0</v>
      </c>
      <c r="K51" s="159"/>
      <c r="L51" s="157"/>
      <c r="M51" s="157"/>
      <c r="N51" s="154"/>
      <c r="O51" s="155"/>
      <c r="P51" s="158"/>
      <c r="R51" s="50" t="str">
        <f>IF(V51='Request #7'!V51,"OK","Send in Change Order")</f>
        <v>OK</v>
      </c>
      <c r="S51" s="85">
        <v>40</v>
      </c>
      <c r="T51" s="86" t="str">
        <f>'Request #7'!T51</f>
        <v>Other Fees</v>
      </c>
      <c r="U51" s="218">
        <f>'Request #7'!U51</f>
        <v>0</v>
      </c>
      <c r="V51" s="87">
        <f>'Request #7'!V51</f>
        <v>0</v>
      </c>
      <c r="W51" s="88">
        <f>SUMIF(F7:F79,40,E7:E79)</f>
        <v>0</v>
      </c>
      <c r="X51" s="88">
        <f>'Request #7'!Y51</f>
        <v>0</v>
      </c>
      <c r="Y51" s="88">
        <f t="shared" si="2"/>
        <v>0</v>
      </c>
      <c r="Z51" s="88">
        <f t="shared" si="3"/>
        <v>0</v>
      </c>
      <c r="AA51" s="88">
        <f>SUMIF(P7:P79,40,O7:O79)</f>
        <v>0</v>
      </c>
      <c r="AB51" s="50" t="str">
        <f>IF(W51&gt;='Request #7'!AA51,"OK","Alert, Explain")</f>
        <v>OK</v>
      </c>
    </row>
    <row r="52" spans="1:28" ht="30" customHeight="1" x14ac:dyDescent="0.3">
      <c r="A52" s="159"/>
      <c r="B52" s="157"/>
      <c r="C52" s="157"/>
      <c r="D52" s="154"/>
      <c r="E52" s="155"/>
      <c r="F52" s="158"/>
      <c r="G52" s="204">
        <f t="shared" si="5"/>
        <v>46</v>
      </c>
      <c r="H52" s="205" t="str">
        <f t="shared" si="5"/>
        <v>Other Fees</v>
      </c>
      <c r="I52" s="247">
        <f t="shared" si="5"/>
        <v>0</v>
      </c>
      <c r="K52" s="159"/>
      <c r="L52" s="157"/>
      <c r="M52" s="157"/>
      <c r="N52" s="154"/>
      <c r="O52" s="155"/>
      <c r="P52" s="158"/>
      <c r="R52" s="50" t="str">
        <f>IF(V52='Request #7'!V52,"OK","Send in Change Order")</f>
        <v>OK</v>
      </c>
      <c r="S52" s="85">
        <v>41</v>
      </c>
      <c r="T52" s="86" t="str">
        <f>'Request #7'!T52</f>
        <v>Other Fees</v>
      </c>
      <c r="U52" s="218">
        <f>'Request #7'!U52</f>
        <v>0</v>
      </c>
      <c r="V52" s="87">
        <f>'Request #7'!V52</f>
        <v>0</v>
      </c>
      <c r="W52" s="88">
        <f>SUMIF(F7:F79,41,E7:E79)</f>
        <v>0</v>
      </c>
      <c r="X52" s="88">
        <f>'Request #7'!Y52</f>
        <v>0</v>
      </c>
      <c r="Y52" s="88">
        <f t="shared" si="2"/>
        <v>0</v>
      </c>
      <c r="Z52" s="88">
        <f t="shared" si="3"/>
        <v>0</v>
      </c>
      <c r="AA52" s="88">
        <f>SUMIF(P7:P79,41,O7:O79)</f>
        <v>0</v>
      </c>
      <c r="AB52" s="50" t="str">
        <f>IF(W52&gt;='Request #7'!AA52,"OK","Alert, Explain")</f>
        <v>OK</v>
      </c>
    </row>
    <row r="53" spans="1:28" ht="30" customHeight="1" x14ac:dyDescent="0.3">
      <c r="A53" s="159"/>
      <c r="B53" s="157"/>
      <c r="C53" s="157"/>
      <c r="D53" s="154"/>
      <c r="E53" s="155"/>
      <c r="F53" s="158"/>
      <c r="G53" s="204">
        <f t="shared" si="5"/>
        <v>47</v>
      </c>
      <c r="H53" s="205" t="str">
        <f t="shared" si="5"/>
        <v>Other Fees</v>
      </c>
      <c r="I53" s="247">
        <f t="shared" si="5"/>
        <v>0</v>
      </c>
      <c r="K53" s="159"/>
      <c r="L53" s="157"/>
      <c r="M53" s="157"/>
      <c r="N53" s="154"/>
      <c r="O53" s="155"/>
      <c r="P53" s="158"/>
      <c r="R53" s="50" t="str">
        <f>IF(V53='Request #7'!V53,"OK","Send in Change Order")</f>
        <v>OK</v>
      </c>
      <c r="S53" s="85">
        <v>42</v>
      </c>
      <c r="T53" s="86" t="str">
        <f>'Request #7'!T53</f>
        <v>Other Fees</v>
      </c>
      <c r="U53" s="218">
        <f>'Request #7'!U53</f>
        <v>0</v>
      </c>
      <c r="V53" s="87">
        <f>'Request #7'!V53</f>
        <v>0</v>
      </c>
      <c r="W53" s="88">
        <f>SUMIF(F7:F79,42,E7:E79)</f>
        <v>0</v>
      </c>
      <c r="X53" s="88">
        <f>'Request #7'!Y53</f>
        <v>0</v>
      </c>
      <c r="Y53" s="88">
        <f t="shared" si="2"/>
        <v>0</v>
      </c>
      <c r="Z53" s="88">
        <f t="shared" si="3"/>
        <v>0</v>
      </c>
      <c r="AA53" s="88">
        <f>SUMIF(P7:P79,42,O7:O79)</f>
        <v>0</v>
      </c>
      <c r="AB53" s="50" t="str">
        <f>IF(W53&gt;='Request #7'!AA53,"OK","Alert, Explain")</f>
        <v>OK</v>
      </c>
    </row>
    <row r="54" spans="1:28" ht="30" customHeight="1" x14ac:dyDescent="0.3">
      <c r="A54" s="159"/>
      <c r="B54" s="157"/>
      <c r="C54" s="157"/>
      <c r="D54" s="154"/>
      <c r="E54" s="155"/>
      <c r="F54" s="158"/>
      <c r="G54" s="204">
        <f t="shared" si="5"/>
        <v>48</v>
      </c>
      <c r="H54" s="205" t="str">
        <f t="shared" si="5"/>
        <v>Other Fees</v>
      </c>
      <c r="I54" s="247">
        <f t="shared" si="5"/>
        <v>0</v>
      </c>
      <c r="K54" s="159"/>
      <c r="L54" s="157"/>
      <c r="M54" s="157"/>
      <c r="N54" s="154"/>
      <c r="O54" s="155"/>
      <c r="P54" s="158"/>
      <c r="R54" s="50" t="str">
        <f>IF(V54='Request #7'!V54,"OK","Send in Change Order")</f>
        <v>OK</v>
      </c>
      <c r="S54" s="85">
        <v>43</v>
      </c>
      <c r="T54" s="86" t="str">
        <f>'Request #7'!T54</f>
        <v>Other Fees</v>
      </c>
      <c r="U54" s="218">
        <f>'Request #7'!U54</f>
        <v>0</v>
      </c>
      <c r="V54" s="87">
        <f>'Request #7'!V54</f>
        <v>0</v>
      </c>
      <c r="W54" s="88">
        <f>SUMIF(F7:F79,43,E7:E79)</f>
        <v>0</v>
      </c>
      <c r="X54" s="88">
        <f>'Request #7'!Y54</f>
        <v>0</v>
      </c>
      <c r="Y54" s="88">
        <f t="shared" si="2"/>
        <v>0</v>
      </c>
      <c r="Z54" s="88">
        <f t="shared" si="3"/>
        <v>0</v>
      </c>
      <c r="AA54" s="88">
        <f>SUMIF(P7:P79,43,O7:O79)</f>
        <v>0</v>
      </c>
      <c r="AB54" s="50" t="str">
        <f>IF(W54&gt;='Request #7'!AA54,"OK","Alert, Explain")</f>
        <v>OK</v>
      </c>
    </row>
    <row r="55" spans="1:28" ht="30" customHeight="1" x14ac:dyDescent="0.3">
      <c r="A55" s="159"/>
      <c r="B55" s="157"/>
      <c r="C55" s="157"/>
      <c r="D55" s="154"/>
      <c r="E55" s="155"/>
      <c r="F55" s="158"/>
      <c r="G55" s="204">
        <f t="shared" si="5"/>
        <v>49</v>
      </c>
      <c r="H55" s="205" t="str">
        <f t="shared" si="5"/>
        <v>Other Fees</v>
      </c>
      <c r="I55" s="247">
        <f t="shared" si="5"/>
        <v>0</v>
      </c>
      <c r="K55" s="159"/>
      <c r="L55" s="157"/>
      <c r="M55" s="157"/>
      <c r="N55" s="154"/>
      <c r="O55" s="155"/>
      <c r="P55" s="158"/>
      <c r="R55" s="50" t="str">
        <f>IF(V55='Request #7'!V55,"OK","Send in Change Order")</f>
        <v>OK</v>
      </c>
      <c r="S55" s="85">
        <v>44</v>
      </c>
      <c r="T55" s="86" t="str">
        <f>'Request #7'!T55</f>
        <v>Other Fees</v>
      </c>
      <c r="U55" s="218">
        <f>'Request #7'!U55</f>
        <v>0</v>
      </c>
      <c r="V55" s="87">
        <f>'Request #7'!V55</f>
        <v>0</v>
      </c>
      <c r="W55" s="88">
        <f>SUMIF(F7:F79,44,E7:E79)</f>
        <v>0</v>
      </c>
      <c r="X55" s="88">
        <f>'Request #7'!Y55</f>
        <v>0</v>
      </c>
      <c r="Y55" s="88">
        <f t="shared" si="2"/>
        <v>0</v>
      </c>
      <c r="Z55" s="88">
        <f t="shared" si="3"/>
        <v>0</v>
      </c>
      <c r="AA55" s="88">
        <f>SUMIF(P7:P79,44,O7:O79)</f>
        <v>0</v>
      </c>
      <c r="AB55" s="50" t="str">
        <f>IF(W55&gt;='Request #7'!AA55,"OK","Alert, Explain")</f>
        <v>OK</v>
      </c>
    </row>
    <row r="56" spans="1:28" ht="30" customHeight="1" x14ac:dyDescent="0.3">
      <c r="A56" s="159"/>
      <c r="B56" s="157"/>
      <c r="C56" s="157"/>
      <c r="D56" s="154"/>
      <c r="E56" s="155"/>
      <c r="F56" s="158"/>
      <c r="G56" s="204">
        <f t="shared" si="5"/>
        <v>50</v>
      </c>
      <c r="H56" s="205" t="str">
        <f t="shared" si="5"/>
        <v>Other Fees</v>
      </c>
      <c r="I56" s="247">
        <f t="shared" si="5"/>
        <v>0</v>
      </c>
      <c r="K56" s="159"/>
      <c r="L56" s="157"/>
      <c r="M56" s="157"/>
      <c r="N56" s="154"/>
      <c r="O56" s="155"/>
      <c r="P56" s="158"/>
      <c r="R56" s="50" t="str">
        <f>IF(V56='Request #7'!V56,"OK","Send in Change Order")</f>
        <v>OK</v>
      </c>
      <c r="S56" s="85">
        <v>45</v>
      </c>
      <c r="T56" s="86" t="str">
        <f>'Request #7'!T56</f>
        <v>Other Fees</v>
      </c>
      <c r="U56" s="218">
        <f>'Request #7'!U56</f>
        <v>0</v>
      </c>
      <c r="V56" s="87">
        <f>'Request #7'!V56</f>
        <v>0</v>
      </c>
      <c r="W56" s="88">
        <f>SUMIF(F7:F79,45,E7:E79)</f>
        <v>0</v>
      </c>
      <c r="X56" s="88">
        <f>'Request #7'!Y56</f>
        <v>0</v>
      </c>
      <c r="Y56" s="88">
        <f t="shared" si="2"/>
        <v>0</v>
      </c>
      <c r="Z56" s="88">
        <f t="shared" si="3"/>
        <v>0</v>
      </c>
      <c r="AA56" s="88">
        <f>SUMIF(P7:P79,45,O7:O79)</f>
        <v>0</v>
      </c>
      <c r="AB56" s="50" t="str">
        <f>IF(W56&gt;='Request #7'!AA56,"OK","Alert, Explain")</f>
        <v>OK</v>
      </c>
    </row>
    <row r="57" spans="1:28" ht="30" customHeight="1" x14ac:dyDescent="0.3">
      <c r="A57" s="159"/>
      <c r="B57" s="157"/>
      <c r="C57" s="157"/>
      <c r="D57" s="154"/>
      <c r="E57" s="155"/>
      <c r="F57" s="158"/>
      <c r="G57" s="204">
        <f t="shared" ref="G57:I62" si="6">S62</f>
        <v>51</v>
      </c>
      <c r="H57" s="205" t="str">
        <f t="shared" si="6"/>
        <v>Other Fees</v>
      </c>
      <c r="I57" s="247">
        <f t="shared" si="6"/>
        <v>0</v>
      </c>
      <c r="K57" s="159"/>
      <c r="L57" s="157"/>
      <c r="M57" s="157"/>
      <c r="N57" s="154"/>
      <c r="O57" s="155"/>
      <c r="P57" s="158"/>
      <c r="R57" s="50" t="str">
        <f>IF(V57='Request #7'!V57,"OK","Send in Change Order")</f>
        <v>OK</v>
      </c>
      <c r="S57" s="85">
        <v>46</v>
      </c>
      <c r="T57" s="86" t="str">
        <f>'Request #7'!T57</f>
        <v>Other Fees</v>
      </c>
      <c r="U57" s="218">
        <f>'Request #7'!U57</f>
        <v>0</v>
      </c>
      <c r="V57" s="87">
        <f>'Request #7'!V57</f>
        <v>0</v>
      </c>
      <c r="W57" s="88">
        <f>SUMIF(F7:F79,46,E7:E79)</f>
        <v>0</v>
      </c>
      <c r="X57" s="88">
        <f>'Request #7'!Y57</f>
        <v>0</v>
      </c>
      <c r="Y57" s="88">
        <f t="shared" si="2"/>
        <v>0</v>
      </c>
      <c r="Z57" s="88">
        <f t="shared" si="3"/>
        <v>0</v>
      </c>
      <c r="AA57" s="88">
        <f>SUMIF(P7:P79,46,O7:O79)</f>
        <v>0</v>
      </c>
      <c r="AB57" s="50" t="str">
        <f>IF(W57&gt;='Request #7'!AA57,"OK","Alert, Explain")</f>
        <v>OK</v>
      </c>
    </row>
    <row r="58" spans="1:28" ht="30" customHeight="1" x14ac:dyDescent="0.3">
      <c r="A58" s="159"/>
      <c r="B58" s="157"/>
      <c r="C58" s="157"/>
      <c r="D58" s="154"/>
      <c r="E58" s="155"/>
      <c r="F58" s="158"/>
      <c r="G58" s="204">
        <f t="shared" si="6"/>
        <v>52</v>
      </c>
      <c r="H58" s="205" t="str">
        <f t="shared" si="6"/>
        <v>Worked Performed by Owner</v>
      </c>
      <c r="I58" s="247">
        <f t="shared" si="6"/>
        <v>0</v>
      </c>
      <c r="K58" s="159"/>
      <c r="L58" s="157"/>
      <c r="M58" s="157"/>
      <c r="N58" s="154"/>
      <c r="O58" s="155"/>
      <c r="P58" s="158"/>
      <c r="R58" s="50" t="str">
        <f>IF(V58='Request #7'!V58,"OK","Send in Change Order")</f>
        <v>OK</v>
      </c>
      <c r="S58" s="85">
        <v>47</v>
      </c>
      <c r="T58" s="86" t="str">
        <f>'Request #7'!T58</f>
        <v>Other Fees</v>
      </c>
      <c r="U58" s="218">
        <f>'Request #7'!U58</f>
        <v>0</v>
      </c>
      <c r="V58" s="87">
        <f>'Request #7'!V58</f>
        <v>0</v>
      </c>
      <c r="W58" s="88">
        <f>SUMIF(F7:F79,47,E7:E79)</f>
        <v>0</v>
      </c>
      <c r="X58" s="88">
        <f>'Request #7'!Y58</f>
        <v>0</v>
      </c>
      <c r="Y58" s="88">
        <f t="shared" si="2"/>
        <v>0</v>
      </c>
      <c r="Z58" s="88">
        <f t="shared" si="3"/>
        <v>0</v>
      </c>
      <c r="AA58" s="88">
        <f>SUMIF(P7:P79,47,O7:O79)</f>
        <v>0</v>
      </c>
      <c r="AB58" s="50" t="str">
        <f>IF(W58&gt;='Request #7'!AA58,"OK","Alert, Explain")</f>
        <v>OK</v>
      </c>
    </row>
    <row r="59" spans="1:28" ht="30" customHeight="1" x14ac:dyDescent="0.3">
      <c r="A59" s="159"/>
      <c r="B59" s="157"/>
      <c r="C59" s="157"/>
      <c r="D59" s="154"/>
      <c r="E59" s="155"/>
      <c r="F59" s="158"/>
      <c r="G59" s="204">
        <f t="shared" si="6"/>
        <v>53</v>
      </c>
      <c r="H59" s="205" t="str">
        <f t="shared" si="6"/>
        <v>Equipment (Major)</v>
      </c>
      <c r="I59" s="247">
        <f t="shared" si="6"/>
        <v>0</v>
      </c>
      <c r="K59" s="159"/>
      <c r="L59" s="157"/>
      <c r="M59" s="157"/>
      <c r="N59" s="154"/>
      <c r="O59" s="155"/>
      <c r="P59" s="158"/>
      <c r="R59" s="50" t="str">
        <f>IF(V59='Request #7'!V59,"OK","Send in Change Order")</f>
        <v>OK</v>
      </c>
      <c r="S59" s="85">
        <v>48</v>
      </c>
      <c r="T59" s="86" t="str">
        <f>'Request #7'!T59</f>
        <v>Other Fees</v>
      </c>
      <c r="U59" s="218">
        <f>'Request #7'!U59</f>
        <v>0</v>
      </c>
      <c r="V59" s="87">
        <f>'Request #7'!V59</f>
        <v>0</v>
      </c>
      <c r="W59" s="88">
        <f>SUMIF(F7:F79,48,E7:E79)</f>
        <v>0</v>
      </c>
      <c r="X59" s="88">
        <f>'Request #7'!Y59</f>
        <v>0</v>
      </c>
      <c r="Y59" s="88">
        <f t="shared" si="2"/>
        <v>0</v>
      </c>
      <c r="Z59" s="88">
        <f t="shared" si="3"/>
        <v>0</v>
      </c>
      <c r="AA59" s="88">
        <f>SUMIF(P7:P79,48,O7:O79)</f>
        <v>0</v>
      </c>
      <c r="AB59" s="50" t="str">
        <f>IF(W59&gt;='Request #7'!AA59,"OK","Alert, Explain")</f>
        <v>OK</v>
      </c>
    </row>
    <row r="60" spans="1:28" ht="30" customHeight="1" x14ac:dyDescent="0.3">
      <c r="A60" s="159"/>
      <c r="B60" s="157"/>
      <c r="C60" s="157"/>
      <c r="D60" s="154"/>
      <c r="E60" s="155"/>
      <c r="F60" s="158"/>
      <c r="G60" s="204">
        <f t="shared" si="6"/>
        <v>54</v>
      </c>
      <c r="H60" s="205" t="str">
        <f t="shared" si="6"/>
        <v>Contingency Fund</v>
      </c>
      <c r="I60" s="247">
        <f t="shared" si="6"/>
        <v>0</v>
      </c>
      <c r="K60" s="159"/>
      <c r="L60" s="157"/>
      <c r="M60" s="157"/>
      <c r="N60" s="154"/>
      <c r="O60" s="155"/>
      <c r="P60" s="158"/>
      <c r="R60" s="50" t="str">
        <f>IF(V60='Request #7'!V60,"OK","Send in Change Order")</f>
        <v>OK</v>
      </c>
      <c r="S60" s="85">
        <v>49</v>
      </c>
      <c r="T60" s="86" t="str">
        <f>'Request #7'!T60</f>
        <v>Other Fees</v>
      </c>
      <c r="U60" s="218">
        <f>'Request #7'!U60</f>
        <v>0</v>
      </c>
      <c r="V60" s="87">
        <f>'Request #7'!V60</f>
        <v>0</v>
      </c>
      <c r="W60" s="88">
        <f>SUMIF(F7:F79,49,E7:E79)</f>
        <v>0</v>
      </c>
      <c r="X60" s="88">
        <f>'Request #7'!Y60</f>
        <v>0</v>
      </c>
      <c r="Y60" s="88">
        <f t="shared" si="2"/>
        <v>0</v>
      </c>
      <c r="Z60" s="88">
        <f t="shared" si="3"/>
        <v>0</v>
      </c>
      <c r="AA60" s="88">
        <f>SUMIF(P7:P79,49,O7:O79)</f>
        <v>0</v>
      </c>
      <c r="AB60" s="50" t="str">
        <f>IF(W60&gt;='Request #7'!AA60,"OK","Alert, Explain")</f>
        <v>OK</v>
      </c>
    </row>
    <row r="61" spans="1:28" ht="30" customHeight="1" x14ac:dyDescent="0.3">
      <c r="A61" s="159"/>
      <c r="B61" s="157"/>
      <c r="C61" s="157"/>
      <c r="D61" s="154"/>
      <c r="E61" s="155"/>
      <c r="F61" s="158"/>
      <c r="G61" s="204">
        <f t="shared" si="6"/>
        <v>55</v>
      </c>
      <c r="H61" s="205">
        <f t="shared" si="6"/>
        <v>0</v>
      </c>
      <c r="I61" s="247">
        <f t="shared" si="6"/>
        <v>0</v>
      </c>
      <c r="K61" s="159"/>
      <c r="L61" s="157"/>
      <c r="M61" s="157"/>
      <c r="N61" s="154"/>
      <c r="O61" s="155"/>
      <c r="P61" s="158"/>
      <c r="R61" s="50" t="str">
        <f>IF(V61='Request #7'!V61,"OK","Send in Change Order")</f>
        <v>OK</v>
      </c>
      <c r="S61" s="85">
        <v>50</v>
      </c>
      <c r="T61" s="86" t="str">
        <f>'Request #7'!T61</f>
        <v>Other Fees</v>
      </c>
      <c r="U61" s="218">
        <f>'Request #7'!U61</f>
        <v>0</v>
      </c>
      <c r="V61" s="87">
        <f>'Request #7'!V61</f>
        <v>0</v>
      </c>
      <c r="W61" s="88">
        <f>SUMIF(F7:F79,50,E7:E79)</f>
        <v>0</v>
      </c>
      <c r="X61" s="88">
        <f>'Request #7'!Y61</f>
        <v>0</v>
      </c>
      <c r="Y61" s="88">
        <f t="shared" si="2"/>
        <v>0</v>
      </c>
      <c r="Z61" s="88">
        <f t="shared" si="3"/>
        <v>0</v>
      </c>
      <c r="AA61" s="88">
        <f>SUMIF(P7:P79,50,O7:O79)</f>
        <v>0</v>
      </c>
      <c r="AB61" s="50" t="str">
        <f>IF(W61&gt;='Request #7'!AA61,"OK","Alert, Explain")</f>
        <v>OK</v>
      </c>
    </row>
    <row r="62" spans="1:28" ht="30" customHeight="1" x14ac:dyDescent="0.3">
      <c r="A62" s="159"/>
      <c r="B62" s="157"/>
      <c r="C62" s="157"/>
      <c r="D62" s="154"/>
      <c r="E62" s="155"/>
      <c r="F62" s="158"/>
      <c r="G62" s="204">
        <f t="shared" si="6"/>
        <v>56</v>
      </c>
      <c r="H62" s="205">
        <f t="shared" si="6"/>
        <v>0</v>
      </c>
      <c r="I62" s="247">
        <f t="shared" si="6"/>
        <v>0</v>
      </c>
      <c r="K62" s="159"/>
      <c r="L62" s="157"/>
      <c r="M62" s="157"/>
      <c r="N62" s="154"/>
      <c r="O62" s="155"/>
      <c r="P62" s="158"/>
      <c r="R62" s="50" t="str">
        <f>IF(V62='Request #7'!V62,"OK","Send in Change Order")</f>
        <v>OK</v>
      </c>
      <c r="S62" s="85">
        <v>51</v>
      </c>
      <c r="T62" s="86" t="str">
        <f>'Request #7'!T62</f>
        <v>Other Fees</v>
      </c>
      <c r="U62" s="218">
        <f>'Request #7'!U62</f>
        <v>0</v>
      </c>
      <c r="V62" s="87">
        <f>'Request #7'!V62</f>
        <v>0</v>
      </c>
      <c r="W62" s="88">
        <f>SUMIF(F7:F79,51,E7:E79)</f>
        <v>0</v>
      </c>
      <c r="X62" s="88">
        <f>'Request #7'!Y62</f>
        <v>0</v>
      </c>
      <c r="Y62" s="88">
        <f t="shared" si="2"/>
        <v>0</v>
      </c>
      <c r="Z62" s="88">
        <f t="shared" si="3"/>
        <v>0</v>
      </c>
      <c r="AA62" s="88">
        <f>SUMIF(P7:P79,51,O7:O79)</f>
        <v>0</v>
      </c>
      <c r="AB62" s="50" t="str">
        <f>IF(W62&gt;='Request #7'!AA62,"OK","Alert, Explain")</f>
        <v>OK</v>
      </c>
    </row>
    <row r="63" spans="1:28" ht="30" customHeight="1" x14ac:dyDescent="0.3">
      <c r="A63" s="159"/>
      <c r="B63" s="157"/>
      <c r="C63" s="157"/>
      <c r="D63" s="154"/>
      <c r="E63" s="155"/>
      <c r="F63" s="158"/>
      <c r="G63" s="192"/>
      <c r="K63" s="159"/>
      <c r="L63" s="157"/>
      <c r="M63" s="157"/>
      <c r="N63" s="154"/>
      <c r="O63" s="155"/>
      <c r="P63" s="158"/>
      <c r="R63" s="50" t="str">
        <f>IF(V63='Request #7'!V63,"OK","Send in Change Order")</f>
        <v>OK</v>
      </c>
      <c r="S63" s="85">
        <v>52</v>
      </c>
      <c r="T63" s="86" t="str">
        <f>'Request #7'!T63</f>
        <v>Worked Performed by Owner</v>
      </c>
      <c r="U63" s="218">
        <f>'Request #7'!U63</f>
        <v>0</v>
      </c>
      <c r="V63" s="87">
        <f>'Request #7'!V63</f>
        <v>0</v>
      </c>
      <c r="W63" s="88">
        <f>SUMIF(F7:F79,52,E7:E79)</f>
        <v>0</v>
      </c>
      <c r="X63" s="88">
        <f>'Request #7'!Y63</f>
        <v>0</v>
      </c>
      <c r="Y63" s="88">
        <f t="shared" si="2"/>
        <v>0</v>
      </c>
      <c r="Z63" s="88">
        <f t="shared" si="3"/>
        <v>0</v>
      </c>
      <c r="AA63" s="88">
        <f>SUMIF(P7:P79,52,O7:O79)</f>
        <v>0</v>
      </c>
      <c r="AB63" s="50" t="str">
        <f>IF(W63&gt;='Request #7'!AA63,"OK","Alert, Explain")</f>
        <v>OK</v>
      </c>
    </row>
    <row r="64" spans="1:28" ht="30" customHeight="1" x14ac:dyDescent="0.3">
      <c r="A64" s="159"/>
      <c r="B64" s="157"/>
      <c r="C64" s="157"/>
      <c r="D64" s="154"/>
      <c r="E64" s="155"/>
      <c r="F64" s="158"/>
      <c r="G64" s="192"/>
      <c r="K64" s="159"/>
      <c r="L64" s="157"/>
      <c r="M64" s="157"/>
      <c r="N64" s="154"/>
      <c r="O64" s="155"/>
      <c r="P64" s="158"/>
      <c r="R64" s="50" t="str">
        <f>IF(V64='Request #7'!V64,"OK","Send in Change Order")</f>
        <v>OK</v>
      </c>
      <c r="S64" s="85">
        <v>53</v>
      </c>
      <c r="T64" s="86" t="str">
        <f>'Request #7'!T64</f>
        <v>Equipment (Major)</v>
      </c>
      <c r="U64" s="218">
        <f>'Request #7'!U64</f>
        <v>0</v>
      </c>
      <c r="V64" s="87">
        <f>'Request #7'!V64</f>
        <v>0</v>
      </c>
      <c r="W64" s="88">
        <f>SUMIF(F7:F79,53,E7:E79)</f>
        <v>0</v>
      </c>
      <c r="X64" s="88">
        <f>'Request #7'!Y64</f>
        <v>0</v>
      </c>
      <c r="Y64" s="88">
        <f t="shared" si="2"/>
        <v>0</v>
      </c>
      <c r="Z64" s="88">
        <f t="shared" si="3"/>
        <v>0</v>
      </c>
      <c r="AA64" s="88">
        <f>SUMIF(P7:P79,53,O7:O79)</f>
        <v>0</v>
      </c>
      <c r="AB64" s="50" t="str">
        <f>IF(W64&gt;='Request #7'!AA64,"OK","Alert, Explain")</f>
        <v>OK</v>
      </c>
    </row>
    <row r="65" spans="1:28" ht="30" customHeight="1" x14ac:dyDescent="0.3">
      <c r="A65" s="159"/>
      <c r="B65" s="157"/>
      <c r="C65" s="157"/>
      <c r="D65" s="154"/>
      <c r="E65" s="155"/>
      <c r="F65" s="158"/>
      <c r="G65" s="192"/>
      <c r="K65" s="159"/>
      <c r="L65" s="157"/>
      <c r="M65" s="157"/>
      <c r="N65" s="154"/>
      <c r="O65" s="155"/>
      <c r="P65" s="158"/>
      <c r="R65" s="50" t="str">
        <f>IF(V65='Request #7'!V65,"OK","Send in Change Order")</f>
        <v>OK</v>
      </c>
      <c r="S65" s="85">
        <v>54</v>
      </c>
      <c r="T65" s="102" t="s">
        <v>90</v>
      </c>
      <c r="U65" s="218">
        <f>'Request #7'!U65</f>
        <v>0</v>
      </c>
      <c r="V65" s="87">
        <f>'Request #7'!V65</f>
        <v>0</v>
      </c>
      <c r="W65" s="104"/>
      <c r="X65" s="88">
        <f>'Request #7'!Y65</f>
        <v>0</v>
      </c>
      <c r="Y65" s="88">
        <f t="shared" si="2"/>
        <v>0</v>
      </c>
      <c r="Z65" s="88">
        <f t="shared" si="3"/>
        <v>0</v>
      </c>
      <c r="AA65" s="104"/>
      <c r="AB65" s="50" t="str">
        <f>IF(W65&gt;='Request #7'!AA65,"OK","Alert, Explain")</f>
        <v>OK</v>
      </c>
    </row>
    <row r="66" spans="1:28" ht="30" customHeight="1" x14ac:dyDescent="0.3">
      <c r="A66" s="159"/>
      <c r="B66" s="157"/>
      <c r="C66" s="157"/>
      <c r="D66" s="154"/>
      <c r="E66" s="155"/>
      <c r="F66" s="158"/>
      <c r="G66" s="192"/>
      <c r="K66" s="159"/>
      <c r="L66" s="157"/>
      <c r="M66" s="157"/>
      <c r="N66" s="154"/>
      <c r="O66" s="155"/>
      <c r="P66" s="158"/>
      <c r="R66" s="50" t="str">
        <f>IF(V66='Request #7'!V66,"OK","Send in Change Order")</f>
        <v>OK</v>
      </c>
      <c r="S66" s="85">
        <v>55</v>
      </c>
      <c r="T66" s="86"/>
      <c r="U66" s="218">
        <f>'Request #7'!U66</f>
        <v>0</v>
      </c>
      <c r="V66" s="87">
        <f>'Request #7'!V66</f>
        <v>0</v>
      </c>
      <c r="W66" s="88">
        <f>SUMIF(F7:F79,55,E7:E79)</f>
        <v>0</v>
      </c>
      <c r="X66" s="88">
        <f>'Request #7'!Y66</f>
        <v>0</v>
      </c>
      <c r="Y66" s="88">
        <f t="shared" si="2"/>
        <v>0</v>
      </c>
      <c r="Z66" s="88">
        <f t="shared" si="3"/>
        <v>0</v>
      </c>
      <c r="AA66" s="88">
        <f>SUMIF(P7:P79,55,O7:O79)</f>
        <v>0</v>
      </c>
      <c r="AB66" s="50" t="str">
        <f>IF(W66&gt;='Request #7'!AA66,"OK","Alert, Explain")</f>
        <v>OK</v>
      </c>
    </row>
    <row r="67" spans="1:28" ht="30" customHeight="1" x14ac:dyDescent="0.3">
      <c r="A67" s="159"/>
      <c r="B67" s="157"/>
      <c r="C67" s="157"/>
      <c r="D67" s="154"/>
      <c r="E67" s="155"/>
      <c r="F67" s="158"/>
      <c r="G67" s="192"/>
      <c r="K67" s="159"/>
      <c r="L67" s="157"/>
      <c r="M67" s="157"/>
      <c r="N67" s="154"/>
      <c r="O67" s="155"/>
      <c r="P67" s="158"/>
      <c r="R67" s="50" t="str">
        <f>IF(V67='Request #7'!V67,"OK","Send in Change Order")</f>
        <v>OK</v>
      </c>
      <c r="S67" s="85">
        <v>56</v>
      </c>
      <c r="T67" s="79"/>
      <c r="U67" s="218">
        <f>'Request #7'!U67</f>
        <v>0</v>
      </c>
      <c r="V67" s="87">
        <f>'Request #7'!V67</f>
        <v>0</v>
      </c>
      <c r="W67" s="88">
        <f>SUMIF(F7:F79,56,E7:E79)</f>
        <v>0</v>
      </c>
      <c r="X67" s="88">
        <f>'Request #7'!Y67</f>
        <v>0</v>
      </c>
      <c r="Y67" s="88">
        <f t="shared" si="2"/>
        <v>0</v>
      </c>
      <c r="Z67" s="88">
        <f t="shared" si="3"/>
        <v>0</v>
      </c>
      <c r="AA67" s="88">
        <f>SUMIF(P7:P79,56,O7:O79)</f>
        <v>0</v>
      </c>
      <c r="AB67" s="50" t="str">
        <f>IF(W67&gt;='Request #7'!AA67,"OK","Alert, Explain")</f>
        <v>OK</v>
      </c>
    </row>
    <row r="68" spans="1:28" ht="30" customHeight="1" thickBot="1" x14ac:dyDescent="0.35">
      <c r="A68" s="159"/>
      <c r="B68" s="157"/>
      <c r="C68" s="157"/>
      <c r="D68" s="154"/>
      <c r="E68" s="155"/>
      <c r="F68" s="158"/>
      <c r="G68" s="192"/>
      <c r="K68" s="159"/>
      <c r="L68" s="157"/>
      <c r="M68" s="157"/>
      <c r="N68" s="154"/>
      <c r="O68" s="155"/>
      <c r="P68" s="158"/>
      <c r="R68" s="50" t="str">
        <f>IF(V68='Request #7'!V68,"OK","Send in Change Order")</f>
        <v>OK</v>
      </c>
      <c r="S68" s="316" t="s">
        <v>60</v>
      </c>
      <c r="T68" s="317"/>
      <c r="U68" s="166" t="s">
        <v>91</v>
      </c>
      <c r="V68" s="263">
        <f t="shared" ref="V68:AA68" si="7">SUM(V12:V67)</f>
        <v>0</v>
      </c>
      <c r="W68" s="105">
        <f t="shared" si="7"/>
        <v>0</v>
      </c>
      <c r="X68" s="105">
        <f t="shared" si="7"/>
        <v>0</v>
      </c>
      <c r="Y68" s="105">
        <f t="shared" si="7"/>
        <v>0</v>
      </c>
      <c r="Z68" s="105">
        <f t="shared" si="7"/>
        <v>0</v>
      </c>
      <c r="AA68" s="105">
        <f t="shared" si="7"/>
        <v>0</v>
      </c>
      <c r="AB68" s="50" t="str">
        <f>IF(W68&gt;='Request #7'!AA68,"OK","Alert, Explain")</f>
        <v>OK</v>
      </c>
    </row>
    <row r="69" spans="1:28" ht="30" customHeight="1" thickTop="1" x14ac:dyDescent="0.3">
      <c r="A69" s="159"/>
      <c r="B69" s="157"/>
      <c r="C69" s="157"/>
      <c r="D69" s="154"/>
      <c r="E69" s="155"/>
      <c r="F69" s="158"/>
      <c r="G69" s="192"/>
      <c r="K69" s="159"/>
      <c r="L69" s="157"/>
      <c r="M69" s="157"/>
      <c r="N69" s="154"/>
      <c r="O69" s="155"/>
      <c r="P69" s="158"/>
      <c r="S69" s="106"/>
      <c r="T69" s="107"/>
      <c r="U69" s="209"/>
      <c r="V69" s="109"/>
      <c r="W69" s="109"/>
      <c r="X69" s="109"/>
      <c r="Y69" s="109"/>
      <c r="Z69" s="109"/>
      <c r="AA69" s="109"/>
      <c r="AB69" s="110"/>
    </row>
    <row r="70" spans="1:28" ht="30" customHeight="1" x14ac:dyDescent="0.3">
      <c r="A70" s="159"/>
      <c r="B70" s="157"/>
      <c r="C70" s="157"/>
      <c r="D70" s="154"/>
      <c r="E70" s="155"/>
      <c r="F70" s="158"/>
      <c r="G70" s="192"/>
      <c r="K70" s="159"/>
      <c r="L70" s="157"/>
      <c r="M70" s="157"/>
      <c r="N70" s="154"/>
      <c r="O70" s="155"/>
      <c r="P70" s="158"/>
      <c r="S70" s="318" t="s">
        <v>92</v>
      </c>
      <c r="T70" s="319"/>
      <c r="U70" s="167" t="s">
        <v>91</v>
      </c>
      <c r="V70" s="111">
        <f>SUM(V72:V74)</f>
        <v>0</v>
      </c>
      <c r="W70" s="111">
        <f>SUM(W72:W74)</f>
        <v>0</v>
      </c>
      <c r="X70" s="111"/>
      <c r="Y70" s="111">
        <f>SUM(Y72:Y74)</f>
        <v>0</v>
      </c>
      <c r="Z70" s="111">
        <f>SUM(Z72:Z74)</f>
        <v>0</v>
      </c>
      <c r="AA70" s="111">
        <f>SUM(AA72:AA74)</f>
        <v>0</v>
      </c>
      <c r="AB70" s="112"/>
    </row>
    <row r="71" spans="1:28" ht="30" customHeight="1" x14ac:dyDescent="0.3">
      <c r="A71" s="159"/>
      <c r="B71" s="157"/>
      <c r="C71" s="157"/>
      <c r="D71" s="154"/>
      <c r="E71" s="155"/>
      <c r="F71" s="158"/>
      <c r="G71" s="192"/>
      <c r="K71" s="159"/>
      <c r="L71" s="157"/>
      <c r="M71" s="157"/>
      <c r="N71" s="154"/>
      <c r="O71" s="155"/>
      <c r="P71" s="158"/>
      <c r="S71" s="113"/>
      <c r="T71" s="114"/>
      <c r="U71" s="210" t="s">
        <v>93</v>
      </c>
      <c r="V71" s="115"/>
      <c r="W71" s="116"/>
      <c r="X71" s="116"/>
      <c r="Y71" s="116"/>
      <c r="Z71" s="116"/>
      <c r="AA71" s="117"/>
      <c r="AB71" s="112"/>
    </row>
    <row r="72" spans="1:28" ht="30" customHeight="1" x14ac:dyDescent="0.3">
      <c r="A72" s="159"/>
      <c r="B72" s="157"/>
      <c r="C72" s="157"/>
      <c r="D72" s="154"/>
      <c r="E72" s="155"/>
      <c r="F72" s="158"/>
      <c r="G72" s="192"/>
      <c r="K72" s="159"/>
      <c r="L72" s="157"/>
      <c r="M72" s="157"/>
      <c r="N72" s="154"/>
      <c r="O72" s="155"/>
      <c r="P72" s="158"/>
      <c r="S72" s="118" t="s">
        <v>94</v>
      </c>
      <c r="T72" s="114"/>
      <c r="U72" s="211" t="e">
        <f>V72/V68</f>
        <v>#DIV/0!</v>
      </c>
      <c r="V72" s="88">
        <f>V68-V74-V73</f>
        <v>0</v>
      </c>
      <c r="W72" s="87">
        <v>0</v>
      </c>
      <c r="X72" s="88">
        <f>'Request #7'!Y72</f>
        <v>0</v>
      </c>
      <c r="Y72" s="88">
        <f t="shared" ref="Y72:Y73" si="8">W72+X72</f>
        <v>0</v>
      </c>
      <c r="Z72" s="88">
        <f>V72-Y72</f>
        <v>0</v>
      </c>
      <c r="AA72" s="87">
        <v>0</v>
      </c>
      <c r="AB72" s="110"/>
    </row>
    <row r="73" spans="1:28" ht="30" customHeight="1" x14ac:dyDescent="0.3">
      <c r="A73" s="159"/>
      <c r="B73" s="157"/>
      <c r="C73" s="157"/>
      <c r="D73" s="154"/>
      <c r="E73" s="155"/>
      <c r="F73" s="158"/>
      <c r="G73" s="192"/>
      <c r="K73" s="159"/>
      <c r="L73" s="157"/>
      <c r="M73" s="157"/>
      <c r="N73" s="154"/>
      <c r="O73" s="155"/>
      <c r="P73" s="158"/>
      <c r="R73" s="50" t="str">
        <f>IF(V73='Request #7'!V73,"OK","Send in Change Order")</f>
        <v>OK</v>
      </c>
      <c r="S73" s="86" t="s">
        <v>95</v>
      </c>
      <c r="T73" s="114"/>
      <c r="U73" s="211" t="e">
        <f>V73/V68</f>
        <v>#DIV/0!</v>
      </c>
      <c r="V73" s="87">
        <f>'Request #7'!V73</f>
        <v>0</v>
      </c>
      <c r="W73" s="87">
        <v>0</v>
      </c>
      <c r="X73" s="88">
        <f>'Request #7'!Y73</f>
        <v>0</v>
      </c>
      <c r="Y73" s="88">
        <f t="shared" si="8"/>
        <v>0</v>
      </c>
      <c r="Z73" s="88">
        <f>V73-Y73</f>
        <v>0</v>
      </c>
      <c r="AA73" s="87">
        <v>0</v>
      </c>
      <c r="AB73" s="110"/>
    </row>
    <row r="74" spans="1:28" ht="30" customHeight="1" x14ac:dyDescent="0.3">
      <c r="A74" s="159"/>
      <c r="B74" s="157"/>
      <c r="C74" s="157"/>
      <c r="D74" s="154"/>
      <c r="E74" s="155"/>
      <c r="F74" s="158"/>
      <c r="G74" s="192"/>
      <c r="K74" s="159"/>
      <c r="L74" s="157"/>
      <c r="M74" s="157"/>
      <c r="N74" s="154"/>
      <c r="O74" s="155"/>
      <c r="P74" s="158"/>
      <c r="R74" s="50" t="str">
        <f>IF(V74='Request #7'!V74,"OK","Send in Change Order")</f>
        <v>OK</v>
      </c>
      <c r="S74" s="120" t="s">
        <v>96</v>
      </c>
      <c r="T74" s="121"/>
      <c r="U74" s="211" t="e">
        <f>V74/V68</f>
        <v>#DIV/0!</v>
      </c>
      <c r="V74" s="87">
        <f>'Request #7'!V74</f>
        <v>0</v>
      </c>
      <c r="W74" s="88">
        <f>W68-W72-W73</f>
        <v>0</v>
      </c>
      <c r="X74" s="88">
        <f>X68-X72-X73</f>
        <v>0</v>
      </c>
      <c r="Y74" s="122">
        <f>Y68-Y72-Y73</f>
        <v>0</v>
      </c>
      <c r="Z74" s="122">
        <f>Z68-Z72-Z73</f>
        <v>0</v>
      </c>
      <c r="AA74" s="88">
        <f>AA68-AA72-AA73</f>
        <v>0</v>
      </c>
      <c r="AB74" s="110"/>
    </row>
    <row r="75" spans="1:28" ht="30" customHeight="1" x14ac:dyDescent="0.3">
      <c r="A75" s="159"/>
      <c r="B75" s="157"/>
      <c r="C75" s="157"/>
      <c r="D75" s="154"/>
      <c r="E75" s="155"/>
      <c r="F75" s="158"/>
      <c r="G75" s="192"/>
      <c r="K75" s="159"/>
      <c r="L75" s="157"/>
      <c r="M75" s="157"/>
      <c r="N75" s="154"/>
      <c r="O75" s="155"/>
      <c r="P75" s="158"/>
      <c r="S75" s="123"/>
      <c r="T75" s="124"/>
      <c r="U75" s="77"/>
      <c r="V75" s="125"/>
      <c r="W75" s="126" t="s">
        <v>97</v>
      </c>
      <c r="X75" s="127"/>
      <c r="Y75" s="123"/>
      <c r="Z75" s="124"/>
      <c r="AA75" s="128"/>
      <c r="AB75" s="60"/>
    </row>
    <row r="76" spans="1:28" ht="30" customHeight="1" x14ac:dyDescent="0.3">
      <c r="A76" s="159"/>
      <c r="B76" s="157"/>
      <c r="C76" s="157"/>
      <c r="D76" s="154"/>
      <c r="E76" s="155"/>
      <c r="F76" s="158"/>
      <c r="G76" s="192"/>
      <c r="K76" s="159"/>
      <c r="L76" s="157"/>
      <c r="M76" s="157"/>
      <c r="N76" s="154"/>
      <c r="O76" s="155"/>
      <c r="P76" s="158"/>
      <c r="S76" s="113" t="s">
        <v>98</v>
      </c>
      <c r="T76" s="129"/>
      <c r="U76" s="212"/>
      <c r="V76" s="114"/>
      <c r="W76" s="130" t="s">
        <v>99</v>
      </c>
      <c r="X76" s="131"/>
      <c r="Y76" s="302" t="s">
        <v>100</v>
      </c>
      <c r="Z76" s="302"/>
      <c r="AA76" s="303"/>
      <c r="AB76" s="84"/>
    </row>
    <row r="77" spans="1:28" ht="30" customHeight="1" x14ac:dyDescent="0.3">
      <c r="A77" s="159"/>
      <c r="B77" s="157"/>
      <c r="C77" s="157"/>
      <c r="D77" s="154"/>
      <c r="E77" s="155"/>
      <c r="F77" s="158"/>
      <c r="G77" s="192"/>
      <c r="K77" s="159"/>
      <c r="L77" s="157"/>
      <c r="M77" s="157"/>
      <c r="N77" s="154"/>
      <c r="O77" s="155"/>
      <c r="P77" s="158"/>
      <c r="S77" s="118" t="s">
        <v>101</v>
      </c>
      <c r="T77" s="129"/>
      <c r="U77" s="213"/>
      <c r="V77" s="88">
        <f>V74</f>
        <v>0</v>
      </c>
      <c r="W77" s="313" t="s">
        <v>102</v>
      </c>
      <c r="X77" s="132"/>
      <c r="Y77" s="45" t="s">
        <v>103</v>
      </c>
      <c r="Z77" s="43"/>
      <c r="AA77" s="88">
        <f>Y72</f>
        <v>0</v>
      </c>
      <c r="AB77" s="110"/>
    </row>
    <row r="78" spans="1:28" ht="30" customHeight="1" x14ac:dyDescent="0.3">
      <c r="A78" s="159"/>
      <c r="B78" s="157"/>
      <c r="C78" s="157"/>
      <c r="D78" s="154"/>
      <c r="E78" s="155"/>
      <c r="F78" s="158"/>
      <c r="G78" s="192"/>
      <c r="K78" s="159"/>
      <c r="L78" s="157"/>
      <c r="M78" s="157"/>
      <c r="N78" s="154"/>
      <c r="O78" s="155"/>
      <c r="P78" s="158"/>
      <c r="S78" s="118" t="s">
        <v>104</v>
      </c>
      <c r="T78" s="129"/>
      <c r="U78" s="213"/>
      <c r="V78" s="88">
        <f>Y74</f>
        <v>0</v>
      </c>
      <c r="W78" s="314"/>
      <c r="X78" s="169"/>
      <c r="Y78" s="45" t="s">
        <v>105</v>
      </c>
      <c r="Z78" s="43"/>
      <c r="AA78" s="88">
        <f>AA72</f>
        <v>0</v>
      </c>
      <c r="AB78" s="110"/>
    </row>
    <row r="79" spans="1:28" ht="30" customHeight="1" thickBot="1" x14ac:dyDescent="0.35">
      <c r="A79" s="159"/>
      <c r="B79" s="157"/>
      <c r="C79" s="157"/>
      <c r="D79" s="154"/>
      <c r="E79" s="155"/>
      <c r="F79" s="158"/>
      <c r="G79" s="192"/>
      <c r="K79" s="159"/>
      <c r="L79" s="157"/>
      <c r="M79" s="157"/>
      <c r="N79" s="154"/>
      <c r="O79" s="155"/>
      <c r="P79" s="158"/>
      <c r="S79" s="134" t="s">
        <v>106</v>
      </c>
      <c r="T79" s="135"/>
      <c r="U79" s="214"/>
      <c r="V79" s="105">
        <f>SUM(V77-V78)</f>
        <v>0</v>
      </c>
      <c r="W79" s="315"/>
      <c r="X79" s="170"/>
      <c r="Y79" s="298" t="s">
        <v>91</v>
      </c>
      <c r="Z79" s="299"/>
      <c r="AA79" s="88">
        <f>SUM(AA77:AA78)</f>
        <v>0</v>
      </c>
      <c r="AB79" s="110"/>
    </row>
    <row r="80" spans="1:28" ht="30" customHeight="1" thickTop="1" x14ac:dyDescent="0.3">
      <c r="A80" s="160" t="s">
        <v>107</v>
      </c>
      <c r="B80" s="161"/>
      <c r="C80" s="162"/>
      <c r="D80" s="161"/>
      <c r="E80" s="163">
        <f>SUM(E46:E79)</f>
        <v>0</v>
      </c>
      <c r="F80" s="158"/>
      <c r="G80" s="192"/>
      <c r="K80" s="160" t="s">
        <v>107</v>
      </c>
      <c r="L80" s="161"/>
      <c r="M80" s="162"/>
      <c r="N80" s="161"/>
      <c r="O80" s="163">
        <f>SUM(O46:O79)</f>
        <v>0</v>
      </c>
      <c r="P80" s="158"/>
      <c r="S80" s="137"/>
      <c r="T80" s="55"/>
      <c r="U80" s="77"/>
      <c r="V80" s="55"/>
      <c r="W80" s="55"/>
      <c r="X80" s="138"/>
      <c r="Y80" s="45" t="s">
        <v>108</v>
      </c>
      <c r="Z80" s="43"/>
      <c r="AA80" s="88">
        <f>'Request #7'!AA79</f>
        <v>0</v>
      </c>
      <c r="AB80" s="110"/>
    </row>
    <row r="81" spans="1:28" ht="30" customHeight="1" thickBot="1" x14ac:dyDescent="0.35">
      <c r="A81" s="159"/>
      <c r="B81" s="157"/>
      <c r="C81" s="159"/>
      <c r="D81" s="154"/>
      <c r="E81" s="155"/>
      <c r="F81" s="158"/>
      <c r="G81" s="192"/>
      <c r="K81" s="159"/>
      <c r="L81" s="157"/>
      <c r="M81" s="159"/>
      <c r="N81" s="154"/>
      <c r="O81" s="155"/>
      <c r="P81" s="158"/>
      <c r="S81" s="55"/>
      <c r="T81" s="55" t="s">
        <v>109</v>
      </c>
      <c r="U81" s="260">
        <f>V3</f>
        <v>0</v>
      </c>
      <c r="V81" s="260"/>
      <c r="W81" s="260"/>
      <c r="X81" s="138"/>
      <c r="Y81" s="47" t="s">
        <v>110</v>
      </c>
      <c r="Z81" s="46"/>
      <c r="AA81" s="105">
        <f>AA79-AA80</f>
        <v>0</v>
      </c>
      <c r="AB81" s="110"/>
    </row>
    <row r="82" spans="1:28" ht="30" customHeight="1" thickTop="1" x14ac:dyDescent="0.3">
      <c r="A82" s="160" t="s">
        <v>111</v>
      </c>
      <c r="B82" s="161" t="s">
        <v>112</v>
      </c>
      <c r="C82" s="162"/>
      <c r="D82" s="161"/>
      <c r="E82" s="163">
        <f>E44+E80</f>
        <v>0</v>
      </c>
      <c r="F82" s="164"/>
      <c r="G82" s="199"/>
      <c r="H82" s="200"/>
      <c r="I82" s="248"/>
      <c r="K82" s="160" t="s">
        <v>111</v>
      </c>
      <c r="L82" s="161" t="s">
        <v>113</v>
      </c>
      <c r="M82" s="162"/>
      <c r="N82" s="161"/>
      <c r="O82" s="163">
        <f>O44+O80</f>
        <v>0</v>
      </c>
      <c r="P82" s="164"/>
      <c r="S82" s="55"/>
      <c r="T82" s="55"/>
      <c r="U82" s="55"/>
      <c r="V82" s="55"/>
      <c r="W82" s="55"/>
      <c r="X82" s="138"/>
      <c r="Y82" s="55"/>
      <c r="Z82" s="55"/>
      <c r="AA82" s="128"/>
      <c r="AB82" s="60"/>
    </row>
    <row r="83" spans="1:28" ht="30" customHeight="1" x14ac:dyDescent="0.3">
      <c r="A83" s="55"/>
      <c r="B83" s="55"/>
      <c r="C83" s="55"/>
      <c r="D83" s="55"/>
      <c r="E83" s="55"/>
      <c r="F83" s="55"/>
      <c r="G83" s="73"/>
      <c r="H83" s="201"/>
      <c r="I83" s="249"/>
      <c r="K83" s="55"/>
      <c r="L83" s="55"/>
      <c r="M83" s="55"/>
      <c r="N83" s="55"/>
      <c r="O83" s="55"/>
      <c r="P83" s="55"/>
      <c r="S83" s="55"/>
      <c r="T83" s="55" t="s">
        <v>114</v>
      </c>
      <c r="U83" s="260">
        <f>V5</f>
        <v>0</v>
      </c>
      <c r="V83" s="260"/>
      <c r="W83" s="260"/>
      <c r="X83" s="138"/>
      <c r="Y83" s="320" t="s">
        <v>115</v>
      </c>
      <c r="Z83" s="320"/>
      <c r="AA83" s="321"/>
      <c r="AB83" s="84"/>
    </row>
    <row r="84" spans="1:28" ht="30" customHeight="1" x14ac:dyDescent="0.3">
      <c r="A84" s="55"/>
      <c r="B84" s="55"/>
      <c r="C84" s="55"/>
      <c r="D84" s="55"/>
      <c r="E84" s="55"/>
      <c r="F84" s="55"/>
      <c r="G84" s="73"/>
      <c r="H84" s="201"/>
      <c r="I84" s="249"/>
      <c r="K84" s="55"/>
      <c r="L84" s="55"/>
      <c r="M84" s="55"/>
      <c r="N84" s="55"/>
      <c r="O84" s="55"/>
      <c r="P84" s="55"/>
      <c r="S84" s="55"/>
      <c r="T84" s="55"/>
      <c r="U84" s="55"/>
      <c r="V84" s="55"/>
      <c r="W84" s="55"/>
      <c r="X84" s="138"/>
      <c r="Y84" s="45" t="s">
        <v>116</v>
      </c>
      <c r="Z84" s="43"/>
      <c r="AA84" s="88">
        <f>Y74</f>
        <v>0</v>
      </c>
      <c r="AB84" s="110"/>
    </row>
    <row r="85" spans="1:28" ht="30" customHeight="1" x14ac:dyDescent="0.3">
      <c r="A85" s="55"/>
      <c r="B85" s="55"/>
      <c r="C85" s="55"/>
      <c r="D85" s="55"/>
      <c r="E85" s="55"/>
      <c r="F85" s="55"/>
      <c r="G85" s="73"/>
      <c r="H85" s="201"/>
      <c r="I85" s="249"/>
      <c r="K85" s="55"/>
      <c r="L85" s="55"/>
      <c r="M85" s="55"/>
      <c r="N85" s="55"/>
      <c r="O85" s="55"/>
      <c r="P85" s="55"/>
      <c r="S85" s="55"/>
      <c r="T85" s="55" t="s">
        <v>117</v>
      </c>
      <c r="U85" s="260">
        <f>AA4</f>
        <v>0</v>
      </c>
      <c r="V85" s="55"/>
      <c r="W85" s="55"/>
      <c r="X85" s="138"/>
      <c r="Y85" s="45" t="s">
        <v>118</v>
      </c>
      <c r="Z85" s="43"/>
      <c r="AA85" s="88">
        <f>AA74</f>
        <v>0</v>
      </c>
      <c r="AB85" s="110"/>
    </row>
    <row r="86" spans="1:28" ht="30" customHeight="1" x14ac:dyDescent="0.3">
      <c r="A86" s="55"/>
      <c r="B86" s="55"/>
      <c r="C86" s="55"/>
      <c r="D86" s="55"/>
      <c r="E86" s="55"/>
      <c r="F86" s="55"/>
      <c r="G86" s="73"/>
      <c r="H86" s="201"/>
      <c r="I86" s="249"/>
      <c r="K86" s="55"/>
      <c r="L86" s="55"/>
      <c r="M86" s="55"/>
      <c r="N86" s="55"/>
      <c r="O86" s="55"/>
      <c r="P86" s="55"/>
      <c r="S86" s="55"/>
      <c r="T86" s="55"/>
      <c r="U86" s="55"/>
      <c r="V86" s="55"/>
      <c r="W86" s="55"/>
      <c r="X86" s="138"/>
      <c r="Y86" s="298" t="s">
        <v>91</v>
      </c>
      <c r="Z86" s="299"/>
      <c r="AA86" s="88">
        <f>SUM(AA84:AA85)</f>
        <v>0</v>
      </c>
      <c r="AB86" s="110"/>
    </row>
    <row r="87" spans="1:28" ht="30" customHeight="1" x14ac:dyDescent="0.3">
      <c r="S87" s="55"/>
      <c r="T87" s="55" t="s">
        <v>24</v>
      </c>
      <c r="U87" s="260">
        <f>AA3</f>
        <v>8</v>
      </c>
      <c r="V87" s="55"/>
      <c r="W87" s="55"/>
      <c r="X87" s="138"/>
      <c r="Y87" s="45" t="s">
        <v>108</v>
      </c>
      <c r="Z87" s="43"/>
      <c r="AA87" s="88">
        <f>'Request #7'!AA86</f>
        <v>0</v>
      </c>
      <c r="AB87" s="110"/>
    </row>
    <row r="88" spans="1:28" ht="30" customHeight="1" thickBot="1" x14ac:dyDescent="0.35">
      <c r="S88" s="55"/>
      <c r="T88" s="55"/>
      <c r="U88" s="77"/>
      <c r="V88" s="55"/>
      <c r="W88" s="55"/>
      <c r="X88" s="138"/>
      <c r="Y88" s="48" t="s">
        <v>110</v>
      </c>
      <c r="Z88" s="49"/>
      <c r="AA88" s="139">
        <f>AA86-AA87</f>
        <v>0</v>
      </c>
      <c r="AB88" s="110"/>
    </row>
    <row r="89" spans="1:28" ht="30" customHeight="1" thickTop="1" x14ac:dyDescent="0.3">
      <c r="S89" s="55"/>
      <c r="T89" s="55"/>
      <c r="U89" s="77"/>
      <c r="V89" s="55"/>
      <c r="W89" s="55"/>
      <c r="X89" s="55"/>
      <c r="Y89" s="55"/>
      <c r="Z89" s="55"/>
      <c r="AA89" s="55"/>
      <c r="AB89" s="60"/>
    </row>
    <row r="90" spans="1:28" ht="30" customHeight="1" x14ac:dyDescent="0.3">
      <c r="S90" s="55"/>
      <c r="T90" s="55"/>
      <c r="U90" s="77"/>
      <c r="V90" s="55"/>
      <c r="W90" s="55"/>
      <c r="X90" s="55"/>
      <c r="Y90" s="55"/>
      <c r="Z90" s="55"/>
      <c r="AA90" s="91"/>
      <c r="AB90" s="140"/>
    </row>
    <row r="91" spans="1:28" ht="30" customHeight="1" x14ac:dyDescent="0.3">
      <c r="S91" s="55"/>
      <c r="T91" s="55"/>
      <c r="U91" s="77"/>
      <c r="V91" s="55"/>
      <c r="W91" s="55"/>
      <c r="X91" s="55"/>
    </row>
    <row r="92" spans="1:28" ht="30" customHeight="1" x14ac:dyDescent="0.3">
      <c r="S92" s="55"/>
      <c r="T92" s="55"/>
      <c r="U92" s="77"/>
      <c r="V92" s="55"/>
      <c r="W92" s="55"/>
      <c r="X92" s="55"/>
    </row>
    <row r="93" spans="1:28" ht="30" customHeight="1" x14ac:dyDescent="0.3">
      <c r="S93" s="55"/>
      <c r="T93" s="55"/>
      <c r="U93" s="77"/>
      <c r="V93" s="55"/>
      <c r="W93" s="55"/>
      <c r="X93" s="55"/>
    </row>
    <row r="94" spans="1:28" ht="30" customHeight="1" x14ac:dyDescent="0.3">
      <c r="S94" s="55"/>
      <c r="T94" s="55"/>
      <c r="U94" s="77"/>
      <c r="V94" s="55"/>
      <c r="W94" s="55"/>
      <c r="X94" s="55"/>
    </row>
    <row r="95" spans="1:28" ht="30" customHeight="1" x14ac:dyDescent="0.3">
      <c r="S95" s="55"/>
      <c r="T95" s="55"/>
      <c r="U95" s="77"/>
      <c r="V95" s="55"/>
      <c r="W95" s="55"/>
      <c r="X95" s="55"/>
    </row>
    <row r="96" spans="1:28" ht="30" customHeight="1" x14ac:dyDescent="0.3">
      <c r="S96" s="55"/>
      <c r="T96" s="55"/>
      <c r="U96" s="77"/>
      <c r="V96" s="55"/>
      <c r="W96" s="55"/>
      <c r="X96" s="55"/>
    </row>
    <row r="97" spans="15:24" ht="30" customHeight="1" x14ac:dyDescent="0.3">
      <c r="S97" s="55"/>
      <c r="T97" s="55"/>
      <c r="U97" s="77"/>
      <c r="V97" s="55"/>
      <c r="W97" s="55"/>
      <c r="X97" s="55"/>
    </row>
    <row r="100" spans="15:24" ht="30" customHeight="1" x14ac:dyDescent="0.3">
      <c r="O100" s="55"/>
    </row>
    <row r="101" spans="15:24" ht="30" customHeight="1" x14ac:dyDescent="0.3">
      <c r="O101" s="55"/>
    </row>
    <row r="102" spans="15:24" ht="30" customHeight="1" x14ac:dyDescent="0.3">
      <c r="O102" s="55"/>
    </row>
    <row r="103" spans="15:24" ht="30" customHeight="1" x14ac:dyDescent="0.3">
      <c r="O103" s="55"/>
    </row>
    <row r="104" spans="15:24" ht="30" customHeight="1" x14ac:dyDescent="0.3">
      <c r="O104" s="55"/>
    </row>
    <row r="105" spans="15:24" ht="30" customHeight="1" x14ac:dyDescent="0.3">
      <c r="O105" s="55"/>
    </row>
    <row r="106" spans="15:24" ht="30" customHeight="1" x14ac:dyDescent="0.3">
      <c r="O106" s="55"/>
    </row>
    <row r="107" spans="15:24" ht="30" customHeight="1" x14ac:dyDescent="0.3">
      <c r="O107" s="55"/>
    </row>
    <row r="108" spans="15:24" ht="30" customHeight="1" x14ac:dyDescent="0.3">
      <c r="O108" s="55"/>
    </row>
    <row r="109" spans="15:24" ht="30" customHeight="1" x14ac:dyDescent="0.3">
      <c r="O109" s="55"/>
    </row>
    <row r="110" spans="15:24" ht="30" customHeight="1" x14ac:dyDescent="0.3">
      <c r="O110" s="55"/>
    </row>
    <row r="111" spans="15:24" ht="30" customHeight="1" x14ac:dyDescent="0.3">
      <c r="O111" s="55"/>
    </row>
    <row r="112" spans="15:24" ht="30" customHeight="1" x14ac:dyDescent="0.3">
      <c r="O112" s="55"/>
    </row>
    <row r="113" spans="15:15" ht="30" customHeight="1" x14ac:dyDescent="0.3">
      <c r="O113" s="55"/>
    </row>
    <row r="114" spans="15:15" ht="30" customHeight="1" x14ac:dyDescent="0.3">
      <c r="O114" s="55"/>
    </row>
    <row r="115" spans="15:15" ht="30" customHeight="1" x14ac:dyDescent="0.3">
      <c r="O115" s="55"/>
    </row>
    <row r="116" spans="15:15" ht="30" customHeight="1" x14ac:dyDescent="0.3">
      <c r="O116" s="55"/>
    </row>
    <row r="117" spans="15:15" ht="30" customHeight="1" x14ac:dyDescent="0.3">
      <c r="O117" s="55"/>
    </row>
    <row r="118" spans="15:15" ht="30" customHeight="1" x14ac:dyDescent="0.3">
      <c r="O118" s="55"/>
    </row>
    <row r="119" spans="15:15" ht="30" customHeight="1" x14ac:dyDescent="0.3">
      <c r="O119" s="55"/>
    </row>
    <row r="120" spans="15:15" ht="30" customHeight="1" x14ac:dyDescent="0.3">
      <c r="O120" s="55"/>
    </row>
    <row r="121" spans="15:15" ht="30" customHeight="1" x14ac:dyDescent="0.3">
      <c r="O121" s="55"/>
    </row>
    <row r="122" spans="15:15" ht="30" customHeight="1" x14ac:dyDescent="0.3">
      <c r="O122" s="55"/>
    </row>
    <row r="123" spans="15:15" ht="30" customHeight="1" x14ac:dyDescent="0.3">
      <c r="O123" s="55"/>
    </row>
    <row r="124" spans="15:15" ht="30" customHeight="1" x14ac:dyDescent="0.3">
      <c r="O124" s="55"/>
    </row>
    <row r="125" spans="15:15" ht="30" customHeight="1" x14ac:dyDescent="0.3">
      <c r="O125" s="55"/>
    </row>
    <row r="126" spans="15:15" ht="30" customHeight="1" x14ac:dyDescent="0.3">
      <c r="O126" s="55"/>
    </row>
    <row r="127" spans="15:15" ht="30" customHeight="1" x14ac:dyDescent="0.3">
      <c r="O127" s="55"/>
    </row>
    <row r="128" spans="15:15" ht="30" customHeight="1" x14ac:dyDescent="0.3">
      <c r="O128" s="55"/>
    </row>
    <row r="129" spans="15:15" ht="30" customHeight="1" x14ac:dyDescent="0.3">
      <c r="O129" s="55"/>
    </row>
    <row r="130" spans="15:15" ht="30" customHeight="1" x14ac:dyDescent="0.3">
      <c r="O130" s="55"/>
    </row>
    <row r="131" spans="15:15" ht="30" customHeight="1" x14ac:dyDescent="0.3">
      <c r="O131" s="55"/>
    </row>
    <row r="132" spans="15:15" ht="30" customHeight="1" x14ac:dyDescent="0.3">
      <c r="O132" s="55"/>
    </row>
    <row r="133" spans="15:15" ht="30" customHeight="1" x14ac:dyDescent="0.3">
      <c r="O133" s="55"/>
    </row>
    <row r="134" spans="15:15" ht="30" customHeight="1" x14ac:dyDescent="0.3">
      <c r="O134" s="55"/>
    </row>
    <row r="135" spans="15:15" ht="30" customHeight="1" x14ac:dyDescent="0.3">
      <c r="O135" s="55"/>
    </row>
  </sheetData>
  <sheetProtection algorithmName="SHA-512" hashValue="6BP3t9wRTNcXxoePvfrB+xv/w0vqBIPhx0522qZcdXYIvsuCEAiAOQ4d7QkLUVPXOMC57KLw53ZZghVO1prl8Q==" saltValue="m4DXDQ12iXsoD6ZS4mt2+Q==" spinCount="100000" sheet="1" selectLockedCells="1"/>
  <mergeCells count="19">
    <mergeCell ref="AF36:AG36"/>
    <mergeCell ref="C45:C46"/>
    <mergeCell ref="F45:F46"/>
    <mergeCell ref="M45:M46"/>
    <mergeCell ref="P45:P46"/>
    <mergeCell ref="T47:U47"/>
    <mergeCell ref="Y83:AA83"/>
    <mergeCell ref="Y86:Z86"/>
    <mergeCell ref="S68:T68"/>
    <mergeCell ref="S70:T70"/>
    <mergeCell ref="Y76:AA76"/>
    <mergeCell ref="W77:W79"/>
    <mergeCell ref="Y79:Z79"/>
    <mergeCell ref="T10:U10"/>
    <mergeCell ref="C5:C6"/>
    <mergeCell ref="F5:F6"/>
    <mergeCell ref="M5:M6"/>
    <mergeCell ref="P5:P6"/>
    <mergeCell ref="S7:AA7"/>
  </mergeCells>
  <conditionalFormatting sqref="R1:R1048576">
    <cfRule type="containsText" dxfId="369" priority="9" operator="containsText" text="Change">
      <formula>NOT(ISERROR(SEARCH("Change",R1)))</formula>
    </cfRule>
  </conditionalFormatting>
  <conditionalFormatting sqref="R45:R48">
    <cfRule type="cellIs" dxfId="368" priority="7" operator="equal">
      <formula>"Send in Change Order"</formula>
    </cfRule>
  </conditionalFormatting>
  <conditionalFormatting sqref="W68">
    <cfRule type="cellIs" dxfId="367" priority="2" operator="notEqual">
      <formula>$E$82</formula>
    </cfRule>
    <cfRule type="cellIs" dxfId="366" priority="3" operator="greaterThan">
      <formula>$E$82</formula>
    </cfRule>
    <cfRule type="cellIs" dxfId="365" priority="4" operator="notEqual">
      <formula>$E$82</formula>
    </cfRule>
  </conditionalFormatting>
  <conditionalFormatting sqref="Z12:Z44">
    <cfRule type="cellIs" dxfId="364" priority="8" operator="lessThan">
      <formula>0</formula>
    </cfRule>
  </conditionalFormatting>
  <conditionalFormatting sqref="Z49:Z68">
    <cfRule type="cellIs" dxfId="363" priority="5" operator="lessThan">
      <formula>0</formula>
    </cfRule>
  </conditionalFormatting>
  <conditionalFormatting sqref="AA68">
    <cfRule type="cellIs" dxfId="362" priority="1" operator="notEqual">
      <formula>$O$82</formula>
    </cfRule>
  </conditionalFormatting>
  <conditionalFormatting sqref="AB1:AB1048576">
    <cfRule type="containsText" dxfId="361" priority="6" operator="containsText" text="Alert">
      <formula>NOT(ISERROR(SEARCH("Alert",AB1)))</formula>
    </cfRule>
  </conditionalFormatting>
  <pageMargins left="0.7" right="0.7" top="0.75" bottom="0.75" header="0.3" footer="0.3"/>
  <pageSetup scale="45" orientation="portrait" r:id="rId1"/>
  <rowBreaks count="1" manualBreakCount="1">
    <brk id="44" max="16383" man="1"/>
  </rowBreaks>
  <colBreaks count="11" manualBreakCount="11">
    <brk id="6" max="88" man="1"/>
    <brk id="10" max="1048575" man="1"/>
    <brk id="16" max="1048575" man="1"/>
    <brk id="18" max="88" man="1"/>
    <brk id="27" max="88" man="1"/>
    <brk id="29" max="1048575" man="1"/>
    <brk id="52" max="1048575" man="1"/>
    <brk id="99" max="1048575" man="1"/>
    <brk id="101" max="1048575" man="1"/>
    <brk id="110" max="1048575" man="1"/>
    <brk id="1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49</vt:i4>
      </vt:variant>
      <vt:variant>
        <vt:lpstr>Named Ranges</vt:lpstr>
      </vt:variant>
      <vt:variant>
        <vt:i4>49</vt:i4>
      </vt:variant>
    </vt:vector>
  </HeadingPairs>
  <TitlesOfParts>
    <vt:vector size="98" baseType="lpstr">
      <vt:lpstr>Project Info</vt:lpstr>
      <vt:lpstr>Request #1</vt:lpstr>
      <vt:lpstr>Request #2</vt:lpstr>
      <vt:lpstr>Request #3</vt:lpstr>
      <vt:lpstr>Request #4</vt:lpstr>
      <vt:lpstr>Request #5</vt:lpstr>
      <vt:lpstr>Request #6</vt:lpstr>
      <vt:lpstr>Request #7</vt:lpstr>
      <vt:lpstr>Request #8</vt:lpstr>
      <vt:lpstr>Request #9</vt:lpstr>
      <vt:lpstr>Request #10</vt:lpstr>
      <vt:lpstr>Request #11</vt:lpstr>
      <vt:lpstr>Request #12</vt:lpstr>
      <vt:lpstr>Request #13</vt:lpstr>
      <vt:lpstr>Request #14</vt:lpstr>
      <vt:lpstr>Request #15</vt:lpstr>
      <vt:lpstr>Request #16</vt:lpstr>
      <vt:lpstr>Request #17</vt:lpstr>
      <vt:lpstr>Request #18</vt:lpstr>
      <vt:lpstr>Request #19</vt:lpstr>
      <vt:lpstr>Request #20</vt:lpstr>
      <vt:lpstr>Request #21</vt:lpstr>
      <vt:lpstr>Request #22</vt:lpstr>
      <vt:lpstr>Request #23</vt:lpstr>
      <vt:lpstr>Request #24</vt:lpstr>
      <vt:lpstr>Request #25</vt:lpstr>
      <vt:lpstr>Request #26</vt:lpstr>
      <vt:lpstr>Request #27</vt:lpstr>
      <vt:lpstr>Request #28</vt:lpstr>
      <vt:lpstr>Request #29</vt:lpstr>
      <vt:lpstr>Request #30</vt:lpstr>
      <vt:lpstr>Request #31</vt:lpstr>
      <vt:lpstr>Request #32</vt:lpstr>
      <vt:lpstr>Request #33</vt:lpstr>
      <vt:lpstr>Request #34</vt:lpstr>
      <vt:lpstr>Request #35</vt:lpstr>
      <vt:lpstr>Request #36</vt:lpstr>
      <vt:lpstr>Request #37</vt:lpstr>
      <vt:lpstr>Request #38</vt:lpstr>
      <vt:lpstr>Request #39</vt:lpstr>
      <vt:lpstr>Request #40</vt:lpstr>
      <vt:lpstr>Request #41</vt:lpstr>
      <vt:lpstr>Request #42</vt:lpstr>
      <vt:lpstr>Request #43</vt:lpstr>
      <vt:lpstr>Request #44</vt:lpstr>
      <vt:lpstr>Request #45</vt:lpstr>
      <vt:lpstr>Request #46</vt:lpstr>
      <vt:lpstr>Request #47</vt:lpstr>
      <vt:lpstr>Request #48</vt:lpstr>
      <vt:lpstr>'Project Info'!Print_Area</vt:lpstr>
      <vt:lpstr>'Request #1'!Print_Area</vt:lpstr>
      <vt:lpstr>'Request #10'!Print_Area</vt:lpstr>
      <vt:lpstr>'Request #11'!Print_Area</vt:lpstr>
      <vt:lpstr>'Request #12'!Print_Area</vt:lpstr>
      <vt:lpstr>'Request #13'!Print_Area</vt:lpstr>
      <vt:lpstr>'Request #14'!Print_Area</vt:lpstr>
      <vt:lpstr>'Request #15'!Print_Area</vt:lpstr>
      <vt:lpstr>'Request #16'!Print_Area</vt:lpstr>
      <vt:lpstr>'Request #17'!Print_Area</vt:lpstr>
      <vt:lpstr>'Request #18'!Print_Area</vt:lpstr>
      <vt:lpstr>'Request #19'!Print_Area</vt:lpstr>
      <vt:lpstr>'Request #2'!Print_Area</vt:lpstr>
      <vt:lpstr>'Request #20'!Print_Area</vt:lpstr>
      <vt:lpstr>'Request #21'!Print_Area</vt:lpstr>
      <vt:lpstr>'Request #22'!Print_Area</vt:lpstr>
      <vt:lpstr>'Request #23'!Print_Area</vt:lpstr>
      <vt:lpstr>'Request #24'!Print_Area</vt:lpstr>
      <vt:lpstr>'Request #25'!Print_Area</vt:lpstr>
      <vt:lpstr>'Request #26'!Print_Area</vt:lpstr>
      <vt:lpstr>'Request #27'!Print_Area</vt:lpstr>
      <vt:lpstr>'Request #28'!Print_Area</vt:lpstr>
      <vt:lpstr>'Request #29'!Print_Area</vt:lpstr>
      <vt:lpstr>'Request #3'!Print_Area</vt:lpstr>
      <vt:lpstr>'Request #30'!Print_Area</vt:lpstr>
      <vt:lpstr>'Request #31'!Print_Area</vt:lpstr>
      <vt:lpstr>'Request #32'!Print_Area</vt:lpstr>
      <vt:lpstr>'Request #33'!Print_Area</vt:lpstr>
      <vt:lpstr>'Request #34'!Print_Area</vt:lpstr>
      <vt:lpstr>'Request #35'!Print_Area</vt:lpstr>
      <vt:lpstr>'Request #36'!Print_Area</vt:lpstr>
      <vt:lpstr>'Request #37'!Print_Area</vt:lpstr>
      <vt:lpstr>'Request #38'!Print_Area</vt:lpstr>
      <vt:lpstr>'Request #39'!Print_Area</vt:lpstr>
      <vt:lpstr>'Request #4'!Print_Area</vt:lpstr>
      <vt:lpstr>'Request #40'!Print_Area</vt:lpstr>
      <vt:lpstr>'Request #41'!Print_Area</vt:lpstr>
      <vt:lpstr>'Request #42'!Print_Area</vt:lpstr>
      <vt:lpstr>'Request #43'!Print_Area</vt:lpstr>
      <vt:lpstr>'Request #44'!Print_Area</vt:lpstr>
      <vt:lpstr>'Request #45'!Print_Area</vt:lpstr>
      <vt:lpstr>'Request #46'!Print_Area</vt:lpstr>
      <vt:lpstr>'Request #47'!Print_Area</vt:lpstr>
      <vt:lpstr>'Request #48'!Print_Area</vt:lpstr>
      <vt:lpstr>'Request #5'!Print_Area</vt:lpstr>
      <vt:lpstr>'Request #6'!Print_Area</vt:lpstr>
      <vt:lpstr>'Request #7'!Print_Area</vt:lpstr>
      <vt:lpstr>'Request #8'!Print_Area</vt:lpstr>
      <vt:lpstr>'Request #9'!Print_Area</vt:lpstr>
    </vt:vector>
  </TitlesOfParts>
  <Manager/>
  <Company>Nash Community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Williams</dc:creator>
  <cp:keywords/>
  <dc:description/>
  <cp:lastModifiedBy>Angela Dorman</cp:lastModifiedBy>
  <cp:revision/>
  <dcterms:created xsi:type="dcterms:W3CDTF">1998-08-12T20:31:31Z</dcterms:created>
  <dcterms:modified xsi:type="dcterms:W3CDTF">2025-07-22T13:17:08Z</dcterms:modified>
  <cp:category/>
  <cp:contentStatus/>
</cp:coreProperties>
</file>